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C:\Users\daveg\Desktop\"/>
    </mc:Choice>
  </mc:AlternateContent>
  <xr:revisionPtr revIDLastSave="0" documentId="13_ncr:1_{C0F865BF-D86F-4155-BFAC-B2AEB55AE3C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5" l="1"/>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F6" i="5" s="1"/>
  <c r="V7" i="5"/>
  <c r="J7" i="5"/>
  <c r="V8" i="5"/>
  <c r="J8" i="5" s="1"/>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X6" i="5" s="1"/>
  <c r="E7" i="5"/>
  <c r="X7" i="5" s="1"/>
  <c r="E8" i="5"/>
  <c r="X8" i="5" s="1"/>
  <c r="V9" i="5"/>
  <c r="E9" i="5" s="1"/>
  <c r="V10" i="5"/>
  <c r="E10" i="5" s="1"/>
  <c r="V11" i="5"/>
  <c r="E11" i="5" s="1"/>
  <c r="V12" i="5"/>
  <c r="E12" i="5" s="1"/>
  <c r="V13" i="5"/>
  <c r="X13" i="5" s="1"/>
  <c r="V15" i="5"/>
  <c r="E15" i="5"/>
  <c r="X15" i="5" s="1"/>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7" i="5"/>
  <c r="G8" i="5"/>
  <c r="G10" i="5"/>
  <c r="G11" i="5"/>
  <c r="G12"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s="1"/>
  <c r="B55" i="6"/>
  <c r="G55" i="6" s="1"/>
  <c r="B54" i="6"/>
  <c r="G54" i="6" s="1"/>
  <c r="B17" i="6"/>
  <c r="G17" i="6" s="1"/>
  <c r="H17" i="6" s="1"/>
  <c r="B16" i="6"/>
  <c r="F21" i="6" s="1"/>
  <c r="B15" i="6"/>
  <c r="B14" i="6"/>
  <c r="G14" i="6"/>
  <c r="H14" i="6" s="1"/>
  <c r="H13" i="6"/>
  <c r="B12" i="6"/>
  <c r="G12" i="6"/>
  <c r="H12" i="6" s="1"/>
  <c r="D12" i="6" s="1"/>
  <c r="B11" i="6"/>
  <c r="G11" i="6"/>
  <c r="H11" i="6" s="1"/>
  <c r="D11" i="6" s="1"/>
  <c r="G9" i="6"/>
  <c r="H9" i="6" s="1"/>
  <c r="B8" i="6"/>
  <c r="G8" i="6" s="1"/>
  <c r="H8" i="6" s="1"/>
  <c r="D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AB6" i="5"/>
  <c r="H5" i="5"/>
  <c r="B90" i="4"/>
  <c r="H67" i="4"/>
  <c r="P47" i="4"/>
  <c r="P46" i="4"/>
  <c r="B46" i="4" s="1"/>
  <c r="A31" i="6" s="1"/>
  <c r="P45" i="4"/>
  <c r="B45" i="4" s="1"/>
  <c r="A30" i="6" s="1"/>
  <c r="P44" i="4"/>
  <c r="P43" i="4"/>
  <c r="Q43" i="4" s="1"/>
  <c r="P41" i="4"/>
  <c r="B41" i="4" s="1"/>
  <c r="B59" i="4" s="1"/>
  <c r="A42" i="6" s="1"/>
  <c r="P40" i="4"/>
  <c r="B40" i="4" s="1"/>
  <c r="B70" i="4" s="1"/>
  <c r="A51" i="6" s="1"/>
  <c r="P39" i="4"/>
  <c r="B39" i="4" s="1"/>
  <c r="B57" i="4" s="1"/>
  <c r="A40" i="6" s="1"/>
  <c r="P38" i="4"/>
  <c r="B38" i="4" s="1"/>
  <c r="B50" i="4" s="1"/>
  <c r="A34" i="6" s="1"/>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42" i="6" s="1"/>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1" i="6" s="1"/>
  <c r="G41" i="6" s="1"/>
  <c r="G16" i="6"/>
  <c r="H16" i="6"/>
  <c r="B19" i="6"/>
  <c r="B29" i="6" s="1"/>
  <c r="G29" i="6" s="1"/>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c r="B37" i="6"/>
  <c r="G37" i="6"/>
  <c r="B42" i="6"/>
  <c r="G42" i="6" s="1"/>
  <c r="B40" i="6"/>
  <c r="G40" i="6" s="1"/>
  <c r="B50" i="6"/>
  <c r="G50" i="6"/>
  <c r="B25" i="6"/>
  <c r="G25" i="6" s="1"/>
  <c r="B35" i="6"/>
  <c r="G35" i="6" s="1"/>
  <c r="B39" i="6"/>
  <c r="G39" i="6" s="1"/>
  <c r="G32" i="6"/>
  <c r="B49" i="6"/>
  <c r="G49" i="6" s="1"/>
  <c r="B34" i="6"/>
  <c r="G34" i="6" s="1"/>
  <c r="F2426" i="5"/>
  <c r="R2426" i="5"/>
  <c r="J2426" i="5"/>
  <c r="I2426" i="5"/>
  <c r="H2426" i="5"/>
  <c r="D5" i="6"/>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B45" i="6"/>
  <c r="G45" i="6" s="1"/>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52" i="6"/>
  <c r="H52" i="6" s="1"/>
  <c r="D52" i="6" s="1"/>
  <c r="F47" i="6"/>
  <c r="H47" i="6" s="1"/>
  <c r="D47" i="6" s="1"/>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S611" i="5"/>
  <c r="S601" i="5"/>
  <c r="S600" i="5"/>
  <c r="S382" i="5"/>
  <c r="S533" i="5"/>
  <c r="S355" i="5"/>
  <c r="S602" i="5"/>
  <c r="S603" i="5"/>
  <c r="S605" i="5"/>
  <c r="S607" i="5"/>
  <c r="S314" i="5"/>
  <c r="AB12" i="5"/>
  <c r="AB9" i="5"/>
  <c r="AB10" i="5"/>
  <c r="AB17" i="5"/>
  <c r="AB16" i="5"/>
  <c r="AB8" i="5"/>
  <c r="AB13" i="5"/>
  <c r="AB15" i="5"/>
  <c r="AB11" i="5"/>
  <c r="AB7"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7" i="5"/>
  <c r="R7" i="5"/>
  <c r="F7" i="5"/>
  <c r="I7" i="5"/>
  <c r="H17" i="5"/>
  <c r="I17" i="5"/>
  <c r="J17" i="5"/>
  <c r="R17" i="5"/>
  <c r="F17" i="5"/>
  <c r="I12" i="5"/>
  <c r="J12" i="5"/>
  <c r="R12" i="5"/>
  <c r="F12" i="5"/>
  <c r="H12" i="5"/>
  <c r="J9" i="5"/>
  <c r="R8" i="5"/>
  <c r="H8" i="5"/>
  <c r="I8" i="5"/>
  <c r="F8" i="5"/>
  <c r="H15" i="5"/>
  <c r="J15" i="5"/>
  <c r="I15" i="5"/>
  <c r="F15" i="5"/>
  <c r="R15" i="5"/>
  <c r="H11" i="5"/>
  <c r="R11" i="5"/>
  <c r="J11" i="5"/>
  <c r="F11" i="5"/>
  <c r="I11" i="5"/>
  <c r="S17" i="5"/>
  <c r="S16" i="5"/>
  <c r="S15" i="5"/>
  <c r="G64" i="6" a="1"/>
  <c r="R13" i="5" l="1"/>
  <c r="G68" i="6"/>
  <c r="X11" i="5"/>
  <c r="R9" i="5"/>
  <c r="I9" i="5"/>
  <c r="H9" i="5"/>
  <c r="G9" i="5"/>
  <c r="J6" i="5"/>
  <c r="F9" i="5"/>
  <c r="X12" i="5"/>
  <c r="X10" i="5"/>
  <c r="X9" i="5"/>
  <c r="E5" i="5"/>
  <c r="R6" i="5"/>
  <c r="I6" i="5"/>
  <c r="G6" i="5"/>
  <c r="G65" i="6"/>
  <c r="G67" i="6"/>
  <c r="H6" i="5"/>
  <c r="G66" i="6"/>
  <c r="G21" i="6"/>
  <c r="B26" i="6"/>
  <c r="G26" i="6" s="1"/>
  <c r="B46" i="6"/>
  <c r="G46" i="6" s="1"/>
  <c r="H21" i="6"/>
  <c r="F40" i="6"/>
  <c r="H40" i="6" s="1"/>
  <c r="D40" i="6" s="1"/>
  <c r="F35" i="6"/>
  <c r="H35" i="6" s="1"/>
  <c r="D35" i="6" s="1"/>
  <c r="H20" i="6"/>
  <c r="D20" i="6" s="1"/>
  <c r="G19" i="6"/>
  <c r="B44" i="6"/>
  <c r="G44" i="6" s="1"/>
  <c r="F24" i="6"/>
  <c r="B24" i="6"/>
  <c r="G24" i="6" s="1"/>
  <c r="H42" i="6"/>
  <c r="D42" i="6" s="1"/>
  <c r="D17" i="6"/>
  <c r="K68" i="6"/>
  <c r="F37" i="6"/>
  <c r="H37" i="6" s="1"/>
  <c r="D37" i="6" s="1"/>
  <c r="C22" i="6"/>
  <c r="F32" i="6"/>
  <c r="H32" i="6" s="1"/>
  <c r="D32" i="6" s="1"/>
  <c r="C37" i="6"/>
  <c r="C47" i="6"/>
  <c r="F68" i="6"/>
  <c r="C27" i="6"/>
  <c r="H27" i="6"/>
  <c r="D27" i="6" s="1"/>
  <c r="C52" i="6"/>
  <c r="C17" i="6"/>
  <c r="A16" i="6"/>
  <c r="D21" i="6"/>
  <c r="K67" i="6"/>
  <c r="B36" i="6"/>
  <c r="G36" i="6" s="1"/>
  <c r="C21" i="6"/>
  <c r="C16" i="6"/>
  <c r="B31" i="6"/>
  <c r="G31" i="6" s="1"/>
  <c r="B51" i="6"/>
  <c r="G51" i="6" s="1"/>
  <c r="F26" i="6"/>
  <c r="F54" i="6" s="1"/>
  <c r="H54" i="6" s="1"/>
  <c r="D54" i="6" s="1"/>
  <c r="F45" i="6"/>
  <c r="H45" i="6" s="1"/>
  <c r="D45" i="6" s="1"/>
  <c r="H25" i="6"/>
  <c r="D25" i="6" s="1"/>
  <c r="C15" i="6"/>
  <c r="F30" i="6"/>
  <c r="H30" i="6" s="1"/>
  <c r="D30" i="6" s="1"/>
  <c r="C20" i="6"/>
  <c r="F66" i="6"/>
  <c r="F50" i="6"/>
  <c r="H50" i="6" s="1"/>
  <c r="D50" i="6" s="1"/>
  <c r="B89" i="4"/>
  <c r="A63" i="6" s="1"/>
  <c r="B37" i="4"/>
  <c r="A23" i="6" s="1"/>
  <c r="B61" i="4"/>
  <c r="A43" i="6" s="1"/>
  <c r="B49" i="4"/>
  <c r="A33" i="6" s="1"/>
  <c r="B85" i="4"/>
  <c r="A60" i="6" s="1"/>
  <c r="B83" i="4"/>
  <c r="A59" i="6" s="1"/>
  <c r="B67" i="4"/>
  <c r="A48" i="6" s="1"/>
  <c r="B77" i="4"/>
  <c r="A55" i="6" s="1"/>
  <c r="B75" i="4"/>
  <c r="A54" i="6" s="1"/>
  <c r="B79" i="4"/>
  <c r="A57" i="6" s="1"/>
  <c r="B31" i="4"/>
  <c r="A18" i="6" s="1"/>
  <c r="B87" i="4"/>
  <c r="A62" i="6" s="1"/>
  <c r="B43" i="4"/>
  <c r="A28" i="6" s="1"/>
  <c r="B81" i="4"/>
  <c r="A58" i="6" s="1"/>
  <c r="H19" i="6"/>
  <c r="D19" i="6" s="1"/>
  <c r="H24" i="6"/>
  <c r="D24" i="6" s="1"/>
  <c r="K65" i="6"/>
  <c r="D14" i="6"/>
  <c r="C14" i="6"/>
  <c r="B55" i="4"/>
  <c r="A38" i="6" s="1"/>
  <c r="C19" i="6"/>
  <c r="C12" i="6"/>
  <c r="B63" i="4"/>
  <c r="A45" i="6" s="1"/>
  <c r="C11" i="6"/>
  <c r="C10" i="6"/>
  <c r="D9" i="6"/>
  <c r="C9" i="6"/>
  <c r="C8" i="6"/>
  <c r="C7" i="6"/>
  <c r="B69" i="4"/>
  <c r="A50" i="6" s="1"/>
  <c r="G74" i="4"/>
  <c r="C6" i="6"/>
  <c r="C5" i="6"/>
  <c r="B71" i="4"/>
  <c r="A52" i="6" s="1"/>
  <c r="B32" i="4"/>
  <c r="A19" i="6" s="1"/>
  <c r="A26" i="6"/>
  <c r="D61" i="4"/>
  <c r="D74" i="4"/>
  <c r="B65" i="4"/>
  <c r="A47" i="6" s="1"/>
  <c r="G67" i="4"/>
  <c r="B53" i="4"/>
  <c r="A37" i="6" s="1"/>
  <c r="A27" i="6"/>
  <c r="D55" i="4"/>
  <c r="B68" i="4"/>
  <c r="A49" i="6" s="1"/>
  <c r="C4" i="6"/>
  <c r="G69" i="6" a="1"/>
  <c r="G69" i="6" s="1"/>
  <c r="B64" i="4"/>
  <c r="A46" i="6" s="1"/>
  <c r="A15" i="6"/>
  <c r="B58" i="4"/>
  <c r="A41" i="6" s="1"/>
  <c r="B52" i="4"/>
  <c r="A36" i="6" s="1"/>
  <c r="G55" i="4"/>
  <c r="A17" i="6"/>
  <c r="F69" i="6"/>
  <c r="C69" i="6" s="1"/>
  <c r="A24" i="6"/>
  <c r="G64" i="6"/>
  <c r="B62" i="4"/>
  <c r="A44" i="6" s="1"/>
  <c r="D67" i="4"/>
  <c r="D49" i="4"/>
  <c r="D31" i="4"/>
  <c r="D43" i="4"/>
  <c r="B51" i="4"/>
  <c r="A35" i="6" s="1"/>
  <c r="G49" i="4"/>
  <c r="G61" i="4"/>
  <c r="A25" i="6"/>
  <c r="G31" i="4"/>
  <c r="B56" i="4"/>
  <c r="A39" i="6" s="1"/>
  <c r="G43" i="4"/>
  <c r="S13" i="5"/>
  <c r="S11" i="5"/>
  <c r="S8" i="5"/>
  <c r="S7" i="5"/>
  <c r="S12" i="5"/>
  <c r="S10" i="5"/>
  <c r="S6" i="5"/>
  <c r="S9" i="5"/>
  <c r="H68" i="6" l="1"/>
  <c r="D68" i="6" s="1"/>
  <c r="X5" i="5"/>
  <c r="H66" i="6"/>
  <c r="D66" i="6" s="1"/>
  <c r="C40" i="6"/>
  <c r="C35" i="6"/>
  <c r="C25" i="6"/>
  <c r="K66" i="6"/>
  <c r="F44" i="6"/>
  <c r="H44" i="6" s="1"/>
  <c r="F34" i="6"/>
  <c r="H34" i="6" s="1"/>
  <c r="F39" i="6"/>
  <c r="H39" i="6" s="1"/>
  <c r="F65" i="6"/>
  <c r="F29" i="6"/>
  <c r="H29" i="6" s="1"/>
  <c r="F49" i="6"/>
  <c r="H49" i="6" s="1"/>
  <c r="D49" i="6" s="1"/>
  <c r="F60" i="6"/>
  <c r="H60" i="6" s="1"/>
  <c r="D60" i="6" s="1"/>
  <c r="C32" i="6"/>
  <c r="F58" i="6"/>
  <c r="H58" i="6" s="1"/>
  <c r="D58" i="6" s="1"/>
  <c r="F55" i="6"/>
  <c r="F56" i="6" s="1"/>
  <c r="H56" i="6" s="1"/>
  <c r="C42" i="6"/>
  <c r="F62" i="6"/>
  <c r="H62" i="6" s="1"/>
  <c r="D62" i="6" s="1"/>
  <c r="F63" i="6"/>
  <c r="H63" i="6" s="1"/>
  <c r="F57" i="6"/>
  <c r="H57" i="6" s="1"/>
  <c r="D57" i="6" s="1"/>
  <c r="F67" i="6"/>
  <c r="H67" i="6" s="1"/>
  <c r="F46" i="6"/>
  <c r="H46" i="6" s="1"/>
  <c r="F31" i="6"/>
  <c r="H31" i="6" s="1"/>
  <c r="F51" i="6"/>
  <c r="H51" i="6" s="1"/>
  <c r="F41" i="6"/>
  <c r="H41" i="6" s="1"/>
  <c r="H26" i="6"/>
  <c r="F36" i="6"/>
  <c r="H36" i="6" s="1"/>
  <c r="F59" i="6"/>
  <c r="H59" i="6" s="1"/>
  <c r="D59" i="6" s="1"/>
  <c r="C66" i="6"/>
  <c r="C45" i="6"/>
  <c r="C30" i="6"/>
  <c r="C54" i="6"/>
  <c r="C50" i="6"/>
  <c r="C24" i="6"/>
  <c r="C49" i="6"/>
  <c r="H69" i="6"/>
  <c r="H64" i="6"/>
  <c r="B64" i="6"/>
  <c r="T13" i="5"/>
  <c r="T9" i="5"/>
  <c r="T10" i="5"/>
  <c r="T7" i="5"/>
  <c r="T8" i="5"/>
  <c r="T11" i="5"/>
  <c r="T6" i="5"/>
  <c r="S5" i="5"/>
  <c r="T12" i="5"/>
  <c r="C68" i="6" l="1"/>
  <c r="C58" i="6"/>
  <c r="D29" i="6"/>
  <c r="C29" i="6"/>
  <c r="B2" i="6"/>
  <c r="H65" i="6"/>
  <c r="C2" i="6"/>
  <c r="D39" i="6"/>
  <c r="C39" i="6"/>
  <c r="D34" i="6"/>
  <c r="C34" i="6"/>
  <c r="C60" i="6"/>
  <c r="D44" i="6"/>
  <c r="C44" i="6"/>
  <c r="C59" i="6"/>
  <c r="H55" i="6"/>
  <c r="C57" i="6"/>
  <c r="C62" i="6"/>
  <c r="D41" i="6"/>
  <c r="C41" i="6"/>
  <c r="D31" i="6"/>
  <c r="C31" i="6"/>
  <c r="D36" i="6"/>
  <c r="C36" i="6"/>
  <c r="D46" i="6"/>
  <c r="C46" i="6"/>
  <c r="D67" i="6"/>
  <c r="C67" i="6"/>
  <c r="D26" i="6"/>
  <c r="C26" i="6"/>
  <c r="D51" i="6"/>
  <c r="C51" i="6"/>
  <c r="D63" i="6"/>
  <c r="C63" i="6"/>
  <c r="D56" i="6"/>
  <c r="C56" i="6"/>
  <c r="C64" i="6"/>
  <c r="D64" i="6"/>
  <c r="T5" i="5"/>
  <c r="H70" i="6" l="1"/>
  <c r="D2" i="6" s="1"/>
  <c r="C55" i="6"/>
  <c r="D55" i="6"/>
  <c r="D65" i="6"/>
  <c r="C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<sst xmlns="http://schemas.openxmlformats.org/spreadsheetml/2006/main" count="22554" uniqueCount="15875">
  <si>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</si>
  <si>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</si>
  <si>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</si>
  <si>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</si>
  <si>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</si>
  <si>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</si>
  <si>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</si>
  <si>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</si>
  <si>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</si>
  <si>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</si>
  <si>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</si>
  <si>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</si>
  <si>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</si>
  <si>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</si>
  <si>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</si>
  <si>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</si>
  <si>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</si>
  <si>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</si>
  <si>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</si>
  <si>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</si>
  <si>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</si>
  <si>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</si>
  <si>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</si>
  <si>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</si>
  <si>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</si>
  <si>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</si>
  <si>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</si>
  <si>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</si>
  <si>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</si>
  <si>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</si>
  <si>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</si>
  <si>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</si>
  <si>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</si>
  <si>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</si>
  <si>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</si>
  <si>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</si>
  <si>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</si>
  <si>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</si>
  <si>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</si>
  <si>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</si>
  <si>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</si>
  <si>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</si>
  <si>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</si>
  <si>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</si>
  <si>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</si>
  <si>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</si>
  <si>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</si>
  <si>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</si>
  <si>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</si>
  <si>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</si>
  <si>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</si>
  <si>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</si>
  <si>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</si>
  <si>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</si>
  <si>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</si>
  <si>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</si>
  <si>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</si>
  <si>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</si>
  <si>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</si>
  <si>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</si>
  <si>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</si>
  <si>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</si>
  <si>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</si>
  <si>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</si>
  <si>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</si>
  <si>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</si>
  <si>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</si>
  <si>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</si>
  <si>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</si>
  <si>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</si>
  <si>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</si>
  <si>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</si>
  <si>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</si>
  <si>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</si>
  <si>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</si>
  <si>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</si>
  <si>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</si>
  <si>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</si>
  <si>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</si>
  <si>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</si>
  <si>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</si>
  <si>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</si>
  <si>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</si>
  <si>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</si>
  <si>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</si>
  <si>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</si>
  <si>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</si>
  <si>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</si>
  <si>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</si>
  <si>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</si>
  <si>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</si>
  <si>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</si>
  <si>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</si>
  <si>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</si>
  <si>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</si>
  <si>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</si>
  <si>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</si>
  <si>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</si>
  <si>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</si>
  <si>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</si>
  <si>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</si>
  <si>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</si>
  <si>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</si>
  <si>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</si>
  <si>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</si>
  <si>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</si>
  <si>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</si>
  <si>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</si>
  <si>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</si>
  <si>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</si>
  <si>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</si>
  <si>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</si>
  <si>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</si>
  <si>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</si>
  <si>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</si>
  <si>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</si>
  <si>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</si>
  <si>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</si>
  <si>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</si>
  <si>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</si>
  <si>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</si>
  <si>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</si>
  <si>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</si>
  <si>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</si>
  <si>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</si>
  <si>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</si>
  <si>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</si>
  <si>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</si>
  <si>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</si>
  <si>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</si>
  <si>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</si>
  <si>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</si>
  <si>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</si>
  <si>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</si>
  <si>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</si>
  <si>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</si>
  <si>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</si>
  <si>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</si>
  <si>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</si>
  <si>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</si>
  <si>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</si>
  <si>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</si>
  <si>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</si>
  <si>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</si>
  <si>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</si>
  <si>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</si>
  <si>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</si>
  <si>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</si>
  <si>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</si>
  <si>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</si>
  <si>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</si>
  <si>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</si>
  <si>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</si>
  <si>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</si>
  <si>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</si>
  <si>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</si>
  <si>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</si>
  <si>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</si>
  <si>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</si>
  <si>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</si>
  <si>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</si>
  <si>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</si>
  <si>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</si>
  <si>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</si>
  <si>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</si>
  <si>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</si>
  <si>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</si>
  <si>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</si>
  <si>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</si>
  <si>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</si>
  <si>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</si>
  <si>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</si>
  <si>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</si>
  <si>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</si>
  <si>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</si>
  <si>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</si>
  <si>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</si>
  <si>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</si>
  <si>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</si>
  <si>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</si>
  <si>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</si>
  <si>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</si>
  <si>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</si>
  <si>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</si>
  <si>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</si>
  <si>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</si>
  <si>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</si>
  <si>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</si>
  <si>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</si>
  <si>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</si>
  <si>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</si>
  <si>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</si>
  <si>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</si>
  <si>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</si>
  <si>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</si>
  <si>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</si>
  <si>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</si>
  <si>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</si>
  <si>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</si>
  <si>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</si>
  <si>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</si>
  <si>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</si>
  <si>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</si>
  <si>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</si>
  <si>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</si>
  <si>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</si>
  <si>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</si>
  <si>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</si>
  <si>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</si>
  <si>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</si>
  <si>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</si>
  <si>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</si>
  <si>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</si>
  <si>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</si>
  <si>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</si>
  <si>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</si>
  <si>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</si>
  <si>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</si>
  <si>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</si>
  <si>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</si>
  <si>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</si>
  <si>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</si>
  <si>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</si>
  <si>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</si>
  <si>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</si>
  <si>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</si>
  <si>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</si>
  <si>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</si>
  <si>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</si>
  <si>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</si>
  <si>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</si>
  <si>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</si>
  <si>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</si>
  <si>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</si>
  <si>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</si>
  <si>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</si>
  <si>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</si>
  <si>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</si>
  <si>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</si>
  <si>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</si>
  <si>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</si>
  <si>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</si>
  <si>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</si>
  <si>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</si>
  <si>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</si>
  <si>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</si>
  <si>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</si>
  <si>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</si>
  <si>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</si>
  <si>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</si>
  <si>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</si>
  <si>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</si>
  <si>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</si>
  <si>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</si>
  <si>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</si>
  <si>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</si>
  <si>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</si>
  <si>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</si>
  <si>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</si>
  <si>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</si>
  <si>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</si>
  <si>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</si>
  <si>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</si>
  <si>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</si>
  <si>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</si>
  <si>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</si>
  <si>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</si>
  <si>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</si>
  <si>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</si>
  <si>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</si>
  <si>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</si>
  <si>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</si>
  <si>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</si>
  <si>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</si>
  <si>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</si>
  <si>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</si>
  <si>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</si>
  <si>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</si>
  <si>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</si>
  <si>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</si>
  <si>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</si>
  <si>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</si>
  <si>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</si>
  <si>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</si>
  <si>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</si>
  <si>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</si>
  <si>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</si>
  <si>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</si>
  <si>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</si>
  <si>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</si>
  <si>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</si>
  <si>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</si>
  <si>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</si>
  <si>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</si>
  <si>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</si>
  <si>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</si>
  <si>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</si>
  <si>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</si>
  <si>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</si>
  <si>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</si>
  <si>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</si>
  <si>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</si>
  <si>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</si>
  <si>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</si>
  <si>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</si>
  <si>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</si>
  <si>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</si>
  <si>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</si>
  <si>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</si>
  <si>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</si>
  <si>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</si>
  <si>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</si>
  <si>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</si>
  <si>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</si>
  <si>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</si>
  <si>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</si>
  <si>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</si>
  <si>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</si>
  <si>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</si>
  <si>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</si>
  <si>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</si>
  <si>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</si>
  <si>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</si>
  <si>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</si>
  <si>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</si>
  <si>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</si>
  <si>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</si>
  <si>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</si>
  <si>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</si>
  <si>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</si>
  <si>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</si>
  <si>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</si>
  <si>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</si>
  <si>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</si>
  <si>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</si>
  <si>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</si>
  <si>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</si>
  <si>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</si>
  <si>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</si>
  <si>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</si>
  <si>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</si>
  <si>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</si>
  <si>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</si>
  <si>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</si>
  <si>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</si>
  <si>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</si>
  <si>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</si>
  <si>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</si>
  <si>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</si>
  <si>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</si>
  <si>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</si>
  <si>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</si>
  <si>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</si>
  <si>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</si>
  <si>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</si>
  <si>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</si>
  <si>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</si>
  <si>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</si>
  <si>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</si>
  <si>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</si>
  <si>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</si>
  <si>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</si>
  <si>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</si>
  <si>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</si>
  <si>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</si>
  <si>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</si>
  <si>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</si>
  <si>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</si>
  <si>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</si>
  <si>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</si>
  <si>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</si>
  <si>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</si>
  <si>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</si>
  <si>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</si>
  <si>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</si>
  <si>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</si>
  <si>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</si>
  <si>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</si>
  <si>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</si>
  <si>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</si>
  <si>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</si>
  <si>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</si>
  <si>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</si>
  <si>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</si>
  <si>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</si>
  <si>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</si>
  <si>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</si>
  <si>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</si>
  <si>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</si>
  <si>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</si>
  <si>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</si>
  <si>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</si>
  <si>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</si>
  <si>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</si>
  <si>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</si>
  <si>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</si>
  <si>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</si>
  <si>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</si>
  <si>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</si>
  <si>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</si>
  <si>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</si>
  <si>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</si>
  <si>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</si>
  <si>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</si>
  <si>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</si>
  <si>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</si>
  <si>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</si>
  <si>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</si>
  <si>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</si>
  <si>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</si>
  <si>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</si>
  <si>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</si>
  <si>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</si>
  <si>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</si>
  <si>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</si>
  <si>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</si>
  <si>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</si>
  <si>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</si>
  <si>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</si>
  <si>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</si>
  <si>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</si>
  <si>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</si>
  <si>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</si>
  <si>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</si>
  <si>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</si>
  <si>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</si>
  <si>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</si>
  <si>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</si>
  <si>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</si>
  <si>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</si>
  <si>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</si>
  <si>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</si>
  <si>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</si>
  <si>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</si>
  <si>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</si>
  <si>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</si>
  <si>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</si>
  <si>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</si>
  <si>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</si>
  <si>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</si>
  <si>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</si>
  <si>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</si>
  <si>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</si>
  <si>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</si>
  <si>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</si>
  <si>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</si>
  <si>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</si>
  <si>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</si>
  <si>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</si>
  <si>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</si>
  <si>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</si>
  <si>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</si>
  <si>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</si>
  <si>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</si>
  <si>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</si>
  <si>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</si>
  <si>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</si>
  <si>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</si>
  <si>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</si>
  <si>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</si>
  <si>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</si>
  <si>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</si>
  <si>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</si>
  <si>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</si>
  <si>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</si>
  <si>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</si>
  <si>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</si>
  <si>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</si>
  <si>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</si>
  <si>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</si>
  <si>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</si>
  <si>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</si>
  <si>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</si>
  <si>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</si>
  <si>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</si>
  <si>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</si>
  <si>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</si>
  <si>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</si>
  <si>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</si>
  <si>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</si>
  <si>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</si>
  <si>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</si>
  <si>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</si>
  <si>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</si>
  <si>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</si>
  <si>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</si>
  <si>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</si>
  <si>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</si>
  <si>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</si>
  <si>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</si>
  <si>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</si>
  <si>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</si>
  <si>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</si>
  <si>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</si>
  <si>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</si>
  <si>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</si>
  <si>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</si>
  <si>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</si>
  <si>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</si>
  <si>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</si>
  <si>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</si>
  <si>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</si>
  <si>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</si>
  <si>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</si>
  <si>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</si>
  <si>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</si>
  <si>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</si>
  <si>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</si>
  <si>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</si>
  <si>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</si>
  <si>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</si>
  <si>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</si>
  <si>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</si>
  <si>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</si>
  <si>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</si>
  <si>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</si>
  <si>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</si>
  <si>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</si>
  <si>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</si>
  <si>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</si>
  <si>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</si>
  <si>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</si>
  <si>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</si>
  <si>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</si>
  <si>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</si>
  <si>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</si>
  <si>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</si>
  <si>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</si>
  <si>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</si>
  <si>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</si>
  <si>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</si>
  <si>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</si>
  <si>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</si>
  <si>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</si>
  <si>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</si>
  <si>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</si>
  <si>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</si>
  <si>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</si>
  <si>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</si>
  <si>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</si>
  <si>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</si>
  <si>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</si>
  <si>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</si>
  <si>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</si>
  <si>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</si>
  <si>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</si>
  <si>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</si>
  <si>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</si>
  <si>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</si>
  <si>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</si>
  <si>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</si>
  <si>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</si>
  <si>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</si>
  <si>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</si>
  <si>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</si>
  <si>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</si>
  <si>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</si>
  <si>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</si>
  <si>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</si>
  <si>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</si>
  <si>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</si>
  <si>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</si>
  <si>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</si>
  <si>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</si>
  <si>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</si>
  <si>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</si>
  <si>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</si>
  <si>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</si>
  <si>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</si>
  <si>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</si>
  <si>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</si>
  <si>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</si>
  <si>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</si>
  <si>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</si>
  <si>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</si>
  <si>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</si>
  <si>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</si>
  <si>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</si>
  <si>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</si>
  <si>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</si>
  <si>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</si>
  <si>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</si>
  <si>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</si>
  <si>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</si>
  <si>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</si>
  <si>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</si>
  <si>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</si>
  <si>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</si>
  <si>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</si>
  <si>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</si>
  <si>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</si>
  <si>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</si>
  <si>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</si>
  <si>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</si>
  <si>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</si>
  <si>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</si>
  <si>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</si>
  <si>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</si>
  <si>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</si>
  <si>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</si>
  <si>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</si>
  <si>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</si>
  <si>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</si>
  <si>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</si>
  <si>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</si>
  <si>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</si>
  <si>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</si>
  <si>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</si>
  <si>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</si>
  <si>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</si>
  <si>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</si>
  <si>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</si>
  <si>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</si>
  <si>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</si>
  <si>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</si>
  <si>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</si>
  <si>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</si>
  <si>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</si>
  <si>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</si>
  <si>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</si>
  <si>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</si>
  <si>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</si>
  <si>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</si>
  <si>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</si>
  <si>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</si>
  <si>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</si>
  <si>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</si>
  <si>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</si>
  <si>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</si>
  <si>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</si>
  <si>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</si>
  <si>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</si>
  <si>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</si>
  <si>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</si>
  <si>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</si>
  <si>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</si>
  <si>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</si>
  <si>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</si>
  <si>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</si>
  <si>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</si>
  <si>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</si>
  <si>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</si>
  <si>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</si>
  <si>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</si>
  <si>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</si>
  <si>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</si>
  <si>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</si>
  <si>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</si>
  <si>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</si>
  <si>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</si>
  <si>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</si>
  <si>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</si>
  <si>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</si>
  <si>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</si>
  <si>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</si>
  <si>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</si>
  <si>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</si>
  <si>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</si>
  <si>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</si>
  <si>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</si>
  <si>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</si>
  <si>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</si>
  <si>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</si>
  <si>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</si>
  <si>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</si>
  <si>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</si>
  <si>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</si>
  <si>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</si>
  <si>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</si>
  <si>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</si>
  <si>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</si>
  <si>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</si>
  <si>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</si>
  <si>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</si>
  <si>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</si>
  <si>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</si>
  <si>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</si>
  <si>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</si>
  <si>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</si>
  <si>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</si>
  <si>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</si>
  <si>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</si>
  <si>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</si>
  <si>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</si>
  <si>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</si>
  <si>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</si>
  <si>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</si>
  <si>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</si>
  <si>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</si>
  <si>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</si>
  <si>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</si>
  <si>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</si>
  <si>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</si>
  <si>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</si>
  <si>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</si>
  <si>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</si>
  <si>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</si>
  <si>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</si>
  <si>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</si>
  <si>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</si>
  <si>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</si>
  <si>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</si>
  <si>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</si>
  <si>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</si>
  <si>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</si>
  <si>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</si>
  <si>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</si>
  <si>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</si>
  <si>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</si>
  <si>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</si>
  <si>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</si>
  <si>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</si>
  <si>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</si>
  <si>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</si>
  <si>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</si>
  <si>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</si>
  <si>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</si>
  <si>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</si>
  <si>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</si>
  <si>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</si>
  <si>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</si>
  <si>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</si>
  <si>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</si>
  <si>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</si>
  <si>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</si>
  <si>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</si>
  <si>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</si>
  <si>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</si>
  <si>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</si>
  <si>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</si>
  <si>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</si>
  <si>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</si>
  <si>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</si>
  <si>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</si>
  <si>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</si>
  <si>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</si>
  <si>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</si>
  <si>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</si>
  <si>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</si>
  <si>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</si>
  <si>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</si>
  <si>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</si>
  <si>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</si>
  <si>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</si>
  <si>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</si>
  <si>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</si>
  <si>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</si>
  <si>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</si>
  <si>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</si>
  <si>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</si>
  <si>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</si>
  <si>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</si>
  <si>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</si>
  <si>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</si>
  <si>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</si>
  <si>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</si>
  <si>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</si>
  <si>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</si>
  <si>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</si>
  <si>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</si>
  <si>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</si>
  <si>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</si>
  <si>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</si>
  <si>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</si>
  <si>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</si>
  <si>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</si>
  <si>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</si>
  <si>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</si>
  <si>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</si>
  <si>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</si>
  <si>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</si>
  <si>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</si>
  <si>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</si>
  <si>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</si>
  <si>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</si>
  <si>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</si>
  <si>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</si>
  <si>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</si>
  <si>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</si>
  <si>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</si>
  <si>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</si>
  <si>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</si>
  <si>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</si>
  <si>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</si>
  <si>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</si>
  <si>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</si>
  <si>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</si>
  <si>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</si>
  <si>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</si>
  <si>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</si>
  <si>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</si>
  <si>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</si>
  <si>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</si>
  <si>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</si>
  <si>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</si>
  <si>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</si>
  <si>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</si>
  <si>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</si>
  <si>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</si>
  <si>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</si>
  <si>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</si>
  <si>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</si>
  <si>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</si>
  <si>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</si>
  <si>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</si>
  <si>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</si>
  <si>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</si>
  <si>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</si>
  <si>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</si>
  <si>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</si>
  <si>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</si>
  <si>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</si>
  <si>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</si>
  <si>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</si>
  <si>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</si>
  <si>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</si>
  <si>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</si>
  <si>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</si>
  <si>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</si>
  <si>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</si>
  <si>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</si>
  <si>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</si>
  <si>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</si>
  <si>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</si>
  <si>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</si>
  <si>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</si>
  <si>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</si>
  <si>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</si>
  <si>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</si>
  <si>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</si>
  <si>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</si>
  <si>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</si>
  <si>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</si>
  <si>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</si>
  <si>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</si>
  <si>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</si>
  <si>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</si>
  <si>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</si>
  <si>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</si>
  <si>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</si>
  <si>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</si>
  <si>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</si>
  <si>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</si>
  <si>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</si>
  <si>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</si>
  <si>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</si>
  <si>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</si>
  <si>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</si>
  <si>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</si>
  <si>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</si>
  <si>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</si>
  <si>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</si>
  <si>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</si>
  <si>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</si>
  <si>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</si>
  <si>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</si>
  <si>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</si>
  <si>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</si>
  <si>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</si>
  <si>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</si>
  <si>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</si>
  <si>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</si>
  <si>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</si>
  <si>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</si>
  <si>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</si>
  <si>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</si>
  <si>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</si>
  <si>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</si>
  <si>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</si>
  <si>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</si>
  <si>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</si>
  <si>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</si>
  <si>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</si>
  <si>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</si>
  <si>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</si>
  <si>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</si>
  <si>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</si>
  <si>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</si>
  <si>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</si>
  <si>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</si>
  <si>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</si>
  <si>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</si>
  <si>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</si>
  <si>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</si>
  <si>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</si>
  <si>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</si>
  <si>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</si>
  <si>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</si>
  <si>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</si>
  <si>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</si>
  <si>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</si>
  <si>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</si>
  <si>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</si>
  <si>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</si>
  <si>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</si>
  <si>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</si>
  <si>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</si>
  <si>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</si>
  <si>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</si>
  <si>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</si>
  <si>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</si>
  <si>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</si>
  <si>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</si>
  <si>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</si>
  <si>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</si>
  <si>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</si>
  <si>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</si>
  <si>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</si>
  <si>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</si>
  <si>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</si>
  <si>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</si>
  <si>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</si>
  <si>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</si>
  <si>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</si>
  <si>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</si>
  <si>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</si>
  <si>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</si>
  <si>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</si>
  <si>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</si>
  <si>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</si>
  <si>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</si>
  <si>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</si>
  <si>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</si>
  <si>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</si>
  <si>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</si>
  <si>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</si>
  <si>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</si>
  <si>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</si>
  <si>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</si>
  <si>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</si>
  <si>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</si>
  <si>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</si>
  <si>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</si>
  <si>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</si>
  <si>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</si>
  <si>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</si>
  <si>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</si>
  <si>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</si>
  <si>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</si>
  <si>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</si>
  <si>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</si>
  <si>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</si>
  <si>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</si>
  <si>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</si>
  <si>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</si>
  <si>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</si>
  <si>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</si>
  <si>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</si>
  <si>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</si>
  <si>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</si>
  <si>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</si>
  <si>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</si>
  <si>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</si>
  <si>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</si>
  <si>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</si>
  <si>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</si>
  <si>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</si>
  <si>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</si>
  <si>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</si>
  <si>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</si>
  <si>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</si>
  <si>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</si>
  <si>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</si>
  <si>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</si>
  <si>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</si>
  <si>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</si>
  <si>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</si>
  <si>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</si>
  <si>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</si>
  <si>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</si>
  <si>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</si>
  <si>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</si>
  <si>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</si>
  <si>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</si>
  <si>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</si>
  <si>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</si>
  <si>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</si>
  <si>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</si>
  <si>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</si>
  <si>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</si>
  <si>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</si>
  <si>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</si>
  <si>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</si>
  <si>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</si>
  <si>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</si>
  <si>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</si>
  <si>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</si>
  <si>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</si>
  <si>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</si>
  <si>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</si>
  <si>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</si>
  <si>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</si>
  <si>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</si>
  <si>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</si>
  <si>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</si>
  <si>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</si>
  <si>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</si>
  <si>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</si>
  <si>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</si>
  <si>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</si>
  <si>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</si>
  <si>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</si>
  <si>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</si>
  <si>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</si>
  <si>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</si>
  <si>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</si>
  <si>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</si>
  <si>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</si>
  <si>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</si>
  <si>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</si>
  <si>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</si>
  <si>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</si>
  <si>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</si>
  <si>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</si>
  <si>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</si>
  <si>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</si>
  <si>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</si>
  <si>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</si>
  <si>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</si>
  <si>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</si>
  <si>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</si>
  <si>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</si>
  <si>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</si>
  <si>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</si>
  <si>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</si>
  <si>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</si>
  <si>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</si>
  <si>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</si>
  <si>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</si>
  <si>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</si>
  <si>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</si>
  <si>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</si>
  <si>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</si>
  <si>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</si>
  <si>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</si>
  <si>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</si>
  <si>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</si>
  <si>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</si>
  <si>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</si>
  <si>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</si>
  <si>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</si>
  <si>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</si>
  <si>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</si>
  <si>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</si>
  <si>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</si>
  <si>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</si>
  <si>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</si>
  <si>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</si>
  <si>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</si>
  <si>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</si>
  <si>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</si>
  <si>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</si>
  <si>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</si>
  <si>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</si>
  <si>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</si>
  <si>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</si>
  <si>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</si>
  <si>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</si>
  <si>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</si>
  <si>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</si>
  <si>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</si>
  <si>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</si>
  <si>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</si>
  <si>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</si>
  <si>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</si>
  <si>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</si>
  <si>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</si>
  <si>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</si>
  <si>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</si>
  <si>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</si>
  <si>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</si>
  <si>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</si>
  <si>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</si>
  <si>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</si>
  <si>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</si>
  <si>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</si>
  <si>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</si>
  <si>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</si>
  <si>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</si>
  <si>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</si>
  <si>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</si>
  <si>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</si>
  <si>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</si>
  <si>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</si>
  <si>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</si>
  <si>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</si>
  <si>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</si>
  <si>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</si>
  <si>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</si>
  <si>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</si>
  <si>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</si>
  <si>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</si>
  <si>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</si>
  <si>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</si>
  <si>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</si>
  <si>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</si>
  <si>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</si>
  <si>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</si>
  <si>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</si>
  <si>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</si>
  <si>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</si>
  <si>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</si>
  <si>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</si>
  <si>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</si>
  <si>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</si>
  <si>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</si>
  <si>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</si>
  <si>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</si>
  <si>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</si>
  <si>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</si>
  <si>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</si>
  <si>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</si>
  <si>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</si>
  <si>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</si>
  <si>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</si>
  <si>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</si>
  <si>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</si>
  <si>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</si>
  <si>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</si>
  <si>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</si>
  <si>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</si>
  <si>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</si>
  <si>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</si>
  <si>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</si>
  <si>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</si>
  <si>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</si>
  <si>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</si>
  <si>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</si>
  <si>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</si>
  <si>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</si>
  <si>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</si>
  <si>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</si>
  <si>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</si>
  <si>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</si>
  <si>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</si>
  <si>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</si>
  <si>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</si>
  <si>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</si>
  <si>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</si>
  <si>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</si>
  <si>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</si>
  <si>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</si>
  <si>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</si>
  <si>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</si>
  <si>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</si>
  <si>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</si>
  <si>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</si>
  <si>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</si>
  <si>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</si>
  <si>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</si>
  <si>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</si>
  <si>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</si>
  <si>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</si>
  <si>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</si>
  <si>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</si>
  <si>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</si>
  <si>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</si>
  <si>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</si>
  <si>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</si>
  <si>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</si>
  <si>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</si>
  <si>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</si>
  <si>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</si>
  <si>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</si>
  <si>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</si>
  <si>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</si>
  <si>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</si>
  <si>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</si>
  <si>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</si>
  <si>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</si>
  <si>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</si>
  <si>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</si>
  <si>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</si>
  <si>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</si>
  <si>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</si>
  <si>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</si>
  <si>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</si>
  <si>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</si>
  <si>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</si>
  <si>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</si>
  <si>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</si>
  <si>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</si>
  <si>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</si>
  <si>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</si>
  <si>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</si>
  <si>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</si>
  <si>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</si>
  <si>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</si>
  <si>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</si>
  <si>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</si>
  <si>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</si>
  <si>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</si>
  <si>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</si>
  <si>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</si>
  <si>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</si>
  <si>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</si>
  <si>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</si>
  <si>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</si>
  <si>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</si>
  <si>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</si>
  <si>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</si>
  <si>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</si>
  <si>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</si>
  <si>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</si>
  <si>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</si>
  <si>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</si>
  <si>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</si>
  <si>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</si>
  <si>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</si>
  <si>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</si>
  <si>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</si>
  <si>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</si>
  <si>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</si>
  <si>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</si>
  <si>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</si>
  <si>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</si>
  <si>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</si>
  <si>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</si>
  <si>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</si>
  <si>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</si>
  <si>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</si>
  <si>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</si>
  <si>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</si>
  <si>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</si>
  <si>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</si>
  <si>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</si>
  <si>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</si>
  <si>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</si>
  <si>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</si>
  <si>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</si>
  <si>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</si>
  <si>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</si>
  <si>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</si>
  <si>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</si>
  <si>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</si>
  <si>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</si>
  <si>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</si>
  <si>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</si>
  <si>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</si>
  <si>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</si>
  <si>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</si>
  <si>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</si>
  <si>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</si>
  <si>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</si>
  <si>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</si>
  <si>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</si>
  <si>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</si>
  <si>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</si>
  <si>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</si>
  <si>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</si>
  <si>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</si>
  <si>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</si>
  <si>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</si>
  <si>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</si>
  <si>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</si>
  <si>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</si>
  <si>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</si>
  <si>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</si>
  <si>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</si>
  <si>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</si>
  <si>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</si>
  <si>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</si>
  <si>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</si>
  <si>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</si>
  <si>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</si>
  <si>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</si>
  <si>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</si>
  <si>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</si>
  <si>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</si>
  <si>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</si>
  <si>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</si>
  <si>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</si>
  <si>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</si>
  <si>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</si>
  <si>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</si>
  <si>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</si>
  <si>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</si>
  <si>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</si>
  <si>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</si>
  <si>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</si>
  <si>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</si>
  <si>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</si>
  <si>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</si>
  <si>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</si>
  <si>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</si>
  <si>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</si>
  <si>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</si>
  <si>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</si>
  <si>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</si>
  <si>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</si>
  <si>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</si>
  <si>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</si>
  <si>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</si>
  <si>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</si>
  <si>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</si>
  <si>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</si>
  <si>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</si>
  <si>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</si>
  <si>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</si>
  <si>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</si>
  <si>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</si>
  <si>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</si>
  <si>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</si>
  <si>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</si>
  <si>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</si>
  <si>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</si>
  <si>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</si>
  <si>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</si>
  <si>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</si>
  <si>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</si>
  <si>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</si>
  <si>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</si>
  <si>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</si>
  <si>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</si>
  <si>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</si>
  <si>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</si>
  <si>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</si>
  <si>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</si>
  <si>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</si>
  <si>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</si>
  <si>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</si>
  <si>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</si>
  <si>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</si>
  <si>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</si>
  <si>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</si>
  <si>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</si>
  <si>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</si>
  <si>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</si>
  <si>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</si>
  <si>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</si>
  <si>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</si>
  <si>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</si>
  <si>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</si>
  <si>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</si>
  <si>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</si>
  <si>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</si>
  <si>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</si>
  <si>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</si>
  <si>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</si>
  <si>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</si>
  <si>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</si>
  <si>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</si>
  <si>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</si>
  <si>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</si>
  <si>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</si>
  <si>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</si>
  <si>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</si>
  <si>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</si>
  <si>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</si>
  <si>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</si>
  <si>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</si>
  <si>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</si>
  <si>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</si>
  <si>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</si>
  <si>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</si>
  <si>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</si>
  <si>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</si>
  <si>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</si>
  <si>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</si>
  <si>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</si>
  <si>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</si>
  <si>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</si>
  <si>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</si>
  <si>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</si>
  <si>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</si>
  <si>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</si>
  <si>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</si>
  <si>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</si>
  <si>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</si>
  <si>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</si>
  <si>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</si>
  <si>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</si>
  <si>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</si>
  <si>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</si>
  <si>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</si>
  <si>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</si>
  <si>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</si>
  <si>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</si>
  <si>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</si>
  <si>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</si>
  <si>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</si>
  <si>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</si>
  <si>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</si>
  <si>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</si>
  <si>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</si>
  <si>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</si>
  <si>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</si>
  <si>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</si>
  <si>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</si>
  <si>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</si>
  <si>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</si>
  <si>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</si>
  <si>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</si>
  <si>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</si>
  <si>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</si>
  <si>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</si>
  <si>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</si>
  <si>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</si>
  <si>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</si>
  <si>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</si>
  <si>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</si>
  <si>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</si>
  <si>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</si>
  <si>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</si>
  <si>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</si>
  <si>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</si>
  <si>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</si>
  <si>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</si>
  <si>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</si>
  <si>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</si>
  <si>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</si>
  <si>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</si>
  <si>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</si>
  <si>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</si>
  <si>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</si>
  <si>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</si>
  <si>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</si>
  <si>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</si>
  <si>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</si>
  <si>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</si>
  <si>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</si>
  <si>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</si>
  <si>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</si>
  <si>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</si>
  <si>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</si>
  <si>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</si>
  <si>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</si>
  <si>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</si>
  <si>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</si>
  <si>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</si>
  <si>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</si>
  <si>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</si>
  <si>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</si>
  <si>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</si>
  <si>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</si>
  <si>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</si>
  <si>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</si>
  <si>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</si>
  <si>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</si>
  <si>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</si>
  <si>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</si>
  <si>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</si>
  <si>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</si>
  <si>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</si>
  <si>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</si>
  <si>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</si>
  <si>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</si>
  <si>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</si>
  <si>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</si>
  <si>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</si>
  <si>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</si>
  <si>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</si>
  <si>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</si>
  <si>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</si>
  <si>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</si>
  <si>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</si>
  <si>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</si>
  <si>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</si>
  <si>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</si>
  <si>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</si>
  <si>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</si>
  <si>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</si>
  <si>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</si>
  <si>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</si>
  <si>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</si>
  <si>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</si>
  <si>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</si>
  <si>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</si>
  <si>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</si>
  <si>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</si>
  <si>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</si>
  <si>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</si>
  <si>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</si>
  <si>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</si>
  <si>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</si>
  <si>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</si>
  <si>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</si>
  <si>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</si>
  <si>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</si>
  <si>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</si>
  <si>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</si>
  <si>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</si>
  <si>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</si>
  <si>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</si>
  <si>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</si>
  <si>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</si>
  <si>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</si>
  <si>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</si>
  <si>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</si>
  <si>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</si>
  <si>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</si>
  <si>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</si>
  <si>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</si>
  <si>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</si>
  <si>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</si>
  <si>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</si>
  <si>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</si>
  <si>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</si>
  <si>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</si>
  <si>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</si>
  <si>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</si>
  <si>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</si>
  <si>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</si>
  <si>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</si>
  <si>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</si>
  <si>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</si>
  <si>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</si>
  <si>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</si>
  <si>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</si>
  <si>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</si>
  <si>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</si>
  <si>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</si>
  <si>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</si>
  <si>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</si>
  <si>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</si>
  <si>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</si>
  <si>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</si>
  <si>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</si>
  <si>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</si>
  <si>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</si>
  <si>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</si>
  <si>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</si>
  <si>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</si>
  <si>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</si>
  <si>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</si>
  <si>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</si>
  <si>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</si>
  <si>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</si>
  <si>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</si>
  <si>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</si>
  <si>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</si>
  <si>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</si>
  <si>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</si>
  <si>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</si>
  <si>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</si>
  <si>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</si>
  <si>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</si>
  <si>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</si>
  <si>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</si>
  <si>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</si>
  <si>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</si>
  <si>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</si>
  <si>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</si>
  <si>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</si>
  <si>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</si>
  <si>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</si>
  <si>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</si>
  <si>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</si>
  <si>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</si>
  <si>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</si>
  <si>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</si>
  <si>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</si>
  <si>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</si>
  <si>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</si>
  <si>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</si>
  <si>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</si>
  <si>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</si>
  <si>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</si>
  <si>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</si>
  <si>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</si>
  <si>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</si>
  <si>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</si>
  <si>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</si>
  <si>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</si>
  <si>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</si>
  <si>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</si>
  <si>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</si>
  <si>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</si>
  <si>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</si>
  <si>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</si>
  <si>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</si>
  <si>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</si>
  <si>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</si>
  <si>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</si>
  <si>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</si>
  <si>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</si>
  <si>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</si>
  <si>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</si>
  <si>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</si>
  <si>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</si>
  <si>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</si>
  <si>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</si>
  <si>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</si>
  <si>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</si>
  <si>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</si>
  <si>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</si>
  <si>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</si>
  <si>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</si>
  <si>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</si>
  <si>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</si>
  <si>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</si>
  <si>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</si>
  <si>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</si>
  <si>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</si>
  <si>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</si>
  <si>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</si>
  <si>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</si>
  <si>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</si>
  <si>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</si>
  <si>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</si>
  <si>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</si>
  <si>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</si>
  <si>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</si>
  <si>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</si>
  <si>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</si>
  <si>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</si>
  <si>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</si>
  <si>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</si>
  <si>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</si>
  <si>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</si>
  <si>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</si>
  <si>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</si>
  <si>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</si>
  <si>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</si>
  <si>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</si>
  <si>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</si>
  <si>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</si>
  <si>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</si>
  <si>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</si>
  <si>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</si>
  <si>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</si>
  <si>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</si>
  <si>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</si>
  <si>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</si>
  <si>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</si>
  <si>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</si>
  <si>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</si>
  <si>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</si>
  <si>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</si>
  <si>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</si>
  <si>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</si>
  <si>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</si>
  <si>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</si>
  <si>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</si>
  <si>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</si>
  <si>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</si>
  <si>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</si>
  <si>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</si>
  <si>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</si>
  <si>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</si>
  <si>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</si>
  <si>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</si>
  <si>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</si>
  <si>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</si>
  <si>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</si>
  <si>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</si>
  <si>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</si>
  <si>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</si>
  <si>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</si>
  <si>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</si>
  <si>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</si>
  <si>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</si>
  <si>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</si>
  <si>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</si>
  <si>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</si>
  <si>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</si>
  <si>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</si>
  <si>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</si>
  <si>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</si>
  <si>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</si>
  <si>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</si>
  <si>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</si>
  <si>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</si>
  <si>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</si>
  <si>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</si>
  <si>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</si>
  <si>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</si>
  <si>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</si>
  <si>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</si>
  <si>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</si>
  <si>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</si>
  <si>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</si>
  <si>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</si>
  <si>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</si>
  <si>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</si>
  <si>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</si>
  <si>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</si>
  <si>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</si>
  <si>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</si>
  <si>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</si>
  <si>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</si>
  <si>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</si>
  <si>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</si>
  <si>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</si>
  <si>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</si>
  <si>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</si>
  <si>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</si>
  <si>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</si>
  <si>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</si>
  <si>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</si>
  <si>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</si>
  <si>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</si>
  <si>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</si>
  <si>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</si>
  <si>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</si>
  <si>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</si>
  <si>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</si>
  <si>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</si>
  <si>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</si>
  <si>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</si>
  <si>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</si>
  <si>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</si>
  <si>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</si>
  <si>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</si>
  <si>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</si>
  <si>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</si>
  <si>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</si>
  <si>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</si>
  <si>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</si>
  <si>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</si>
  <si>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</si>
  <si>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</si>
  <si>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</si>
  <si>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</si>
  <si>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</si>
  <si>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</si>
  <si>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</si>
  <si>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</si>
  <si>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</si>
  <si>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</si>
  <si>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</si>
  <si>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</si>
  <si>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</si>
  <si>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</si>
  <si>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</si>
  <si>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</si>
  <si>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</si>
  <si>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</si>
  <si>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</si>
  <si>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</si>
  <si>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</si>
  <si>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</si>
  <si>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</si>
  <si>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</si>
  <si>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</si>
  <si>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</si>
  <si>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</si>
  <si>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</si>
  <si>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</si>
  <si>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</si>
  <si>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</si>
  <si>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</si>
  <si>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</si>
  <si>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</si>
  <si>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</si>
  <si>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</si>
  <si>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</si>
  <si>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</si>
  <si>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</si>
  <si>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</si>
  <si>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</si>
  <si>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</si>
  <si>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</si>
  <si>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</si>
  <si>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</si>
  <si>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</si>
  <si>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</si>
  <si>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</si>
  <si>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</si>
  <si>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</si>
  <si>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</si>
  <si>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</si>
  <si>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</si>
  <si>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</si>
  <si>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</si>
  <si>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</si>
  <si>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</si>
  <si>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</si>
  <si>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</si>
  <si>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</si>
  <si>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</si>
  <si>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</si>
  <si>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</si>
  <si>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</si>
  <si>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</si>
  <si>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</si>
  <si>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</si>
  <si>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</si>
  <si>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</si>
  <si>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</si>
  <si>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</si>
  <si>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</si>
  <si>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</si>
  <si>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</si>
  <si>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</si>
  <si>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</si>
  <si>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</si>
  <si>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</si>
  <si>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</si>
  <si>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</si>
  <si>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</si>
  <si>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</si>
  <si>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</si>
  <si>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</si>
  <si>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</si>
  <si>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</si>
  <si>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</si>
  <si>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</si>
  <si>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</si>
  <si>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</si>
  <si>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</si>
  <si>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</si>
  <si>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</si>
  <si>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</si>
  <si>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</si>
  <si>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</si>
  <si>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</si>
  <si>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</si>
  <si>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</si>
  <si>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</si>
  <si>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</si>
  <si>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</si>
  <si>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</si>
  <si>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</si>
  <si>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</si>
  <si>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</si>
  <si>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</si>
  <si>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</si>
  <si>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</si>
  <si>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</si>
  <si>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</si>
  <si>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</si>
  <si>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</si>
  <si>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</si>
  <si>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</si>
  <si>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</si>
  <si>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</si>
  <si>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</si>
  <si>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</si>
  <si>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</si>
  <si>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</si>
  <si>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</si>
  <si>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</si>
  <si>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</si>
  <si>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</si>
  <si>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</si>
  <si>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</si>
  <si>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</si>
  <si>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</si>
  <si>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</si>
  <si>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</si>
  <si>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</si>
  <si>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</si>
  <si>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</si>
  <si>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</si>
  <si>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</si>
  <si>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</si>
  <si>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</si>
  <si>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</si>
  <si>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</si>
  <si>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</si>
  <si>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</si>
  <si>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</si>
  <si>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</si>
  <si>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</si>
  <si>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</si>
  <si>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</si>
  <si>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</si>
  <si>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</si>
  <si>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</si>
  <si>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</si>
  <si>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</si>
  <si>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</si>
  <si>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</si>
  <si>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</si>
  <si>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</si>
  <si>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</si>
  <si>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</si>
  <si>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</si>
  <si>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</si>
  <si>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</si>
  <si>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</si>
  <si>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</si>
  <si>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</si>
  <si>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</si>
  <si>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</si>
  <si>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</si>
  <si>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</si>
  <si>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</si>
  <si>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</si>
  <si>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</si>
  <si>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</si>
  <si>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</si>
  <si>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</si>
  <si>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</si>
  <si>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</si>
  <si>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</si>
  <si>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</si>
  <si>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</si>
  <si>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</si>
  <si>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</si>
  <si>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</si>
  <si>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</si>
  <si>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</si>
  <si>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</si>
  <si>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</si>
  <si>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</si>
  <si>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</si>
  <si>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</si>
  <si>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</si>
  <si>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</si>
  <si>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</si>
  <si>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</si>
  <si>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</si>
  <si>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</si>
  <si>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</si>
  <si>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</si>
  <si>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</si>
  <si>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</si>
  <si>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</si>
  <si>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</si>
  <si>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</si>
  <si>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</si>
  <si>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</si>
  <si>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</si>
  <si>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</si>
  <si>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</si>
  <si>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</si>
  <si>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</si>
  <si>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</si>
  <si>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</si>
  <si>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</si>
  <si>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</si>
  <si>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</si>
  <si>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</si>
  <si>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</si>
  <si>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</si>
  <si>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</si>
  <si>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</si>
  <si>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</si>
  <si>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</si>
  <si>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</si>
  <si>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</si>
  <si>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</si>
  <si>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</si>
  <si>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</si>
  <si>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</si>
  <si>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</si>
  <si>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</si>
  <si>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</si>
  <si>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</si>
  <si>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</si>
  <si>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</si>
  <si>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</si>
  <si>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</si>
  <si>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</si>
  <si>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</si>
  <si>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</si>
  <si>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</si>
  <si>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</si>
  <si>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</si>
  <si>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</si>
  <si>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</si>
  <si>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</si>
  <si>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</si>
  <si>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</si>
  <si>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</si>
  <si>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</si>
  <si>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</si>
  <si>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</si>
  <si>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</si>
  <si>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</si>
  <si>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</si>
  <si>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</si>
  <si>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</si>
  <si>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</si>
  <si>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</si>
  <si>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</si>
  <si>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</si>
  <si>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</si>
  <si>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</si>
  <si>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</si>
  <si>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</si>
  <si>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</si>
  <si>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</si>
  <si>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</si>
  <si>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</si>
  <si>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</si>
  <si>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</si>
  <si>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</si>
  <si>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</si>
  <si>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</si>
  <si>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</si>
  <si>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</si>
  <si>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</si>
  <si>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</si>
  <si>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</si>
  <si>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</si>
  <si>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</si>
  <si>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</si>
  <si>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</si>
  <si>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</si>
  <si>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</si>
  <si>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</si>
  <si>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</si>
  <si>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</si>
  <si>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</si>
  <si>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</si>
  <si>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</si>
  <si>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</si>
  <si>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</si>
  <si>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</si>
  <si>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</si>
  <si>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</si>
  <si>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</si>
  <si>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</si>
  <si>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</si>
  <si>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</si>
  <si>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</si>
  <si>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</si>
  <si>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</si>
  <si>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</si>
  <si>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</si>
  <si>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</si>
  <si>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</si>
  <si>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</si>
  <si>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</si>
  <si>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</si>
  <si>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</si>
  <si>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</si>
  <si>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</si>
  <si>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</si>
  <si>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</si>
  <si>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</si>
  <si>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</si>
  <si>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</si>
  <si>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</si>
  <si>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</si>
  <si>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</si>
  <si>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</si>
  <si>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</si>
  <si>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</si>
  <si>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</si>
  <si>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</si>
  <si>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</si>
  <si>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</si>
  <si>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</si>
  <si>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</si>
  <si>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</si>
  <si>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</si>
  <si>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</si>
  <si>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</si>
  <si>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</si>
  <si>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</si>
  <si>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</si>
  <si>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</si>
  <si>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</si>
  <si>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</si>
  <si>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</si>
  <si>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</si>
  <si>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</si>
  <si>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</si>
  <si>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</si>
  <si>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</si>
  <si>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</si>
  <si>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</si>
  <si>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</si>
  <si>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</si>
  <si>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</si>
  <si>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</si>
  <si>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</si>
  <si>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</si>
  <si>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</si>
  <si>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</si>
  <si>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</si>
  <si>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</si>
  <si>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</si>
  <si>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</si>
  <si>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</si>
  <si>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</si>
  <si>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</si>
  <si>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</si>
  <si>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</si>
  <si>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</si>
  <si>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</si>
  <si>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</si>
  <si>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</si>
  <si>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</si>
  <si>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</si>
  <si>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</si>
  <si>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</si>
  <si>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</si>
  <si>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</si>
  <si>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</si>
  <si>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</si>
  <si>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</si>
  <si>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</si>
  <si>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</si>
  <si>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</si>
  <si>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</si>
  <si>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</si>
  <si>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</si>
  <si>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</si>
  <si>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</si>
  <si>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</si>
  <si>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</si>
  <si>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</si>
  <si>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</si>
  <si>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</si>
  <si>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</si>
  <si>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</si>
  <si>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</si>
  <si>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</si>
  <si>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</si>
  <si>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</si>
  <si>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</si>
  <si>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</si>
  <si>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</si>
  <si>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</si>
  <si>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</si>
  <si>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</si>
  <si>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</si>
  <si>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</si>
  <si>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</si>
  <si>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</si>
  <si>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</si>
  <si>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</si>
  <si>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</si>
  <si>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</si>
  <si>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</si>
  <si>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</si>
  <si>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</si>
  <si>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</si>
  <si>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</si>
  <si>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</si>
  <si>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</si>
  <si>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</si>
  <si>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</si>
  <si>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</si>
  <si>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</si>
  <si>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</si>
  <si>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</si>
  <si>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</si>
  <si>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</si>
  <si>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</si>
  <si>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</si>
  <si>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</si>
  <si>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</si>
  <si>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</si>
  <si>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</si>
  <si>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</si>
  <si>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</si>
  <si>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</si>
  <si>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</si>
  <si>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</si>
  <si>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</si>
  <si>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</si>
  <si>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</si>
  <si>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</si>
  <si>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</si>
  <si>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</si>
  <si>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</si>
  <si>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</si>
  <si>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</si>
  <si>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</si>
  <si>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</si>
  <si>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</si>
  <si>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</si>
  <si>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</si>
  <si>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</si>
  <si>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</si>
  <si>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</si>
  <si>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</si>
  <si>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</si>
  <si>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</si>
  <si>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</si>
  <si>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</si>
  <si>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</si>
  <si>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</si>
  <si>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</si>
  <si>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</si>
  <si>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</si>
  <si>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</si>
  <si>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</si>
  <si>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</si>
  <si>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</si>
  <si>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</si>
  <si>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</si>
  <si>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</si>
  <si>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</si>
  <si>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</si>
  <si>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</si>
  <si>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</si>
  <si>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</si>
  <si>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</si>
  <si>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</si>
  <si>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</si>
  <si>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</si>
  <si>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</si>
  <si>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</si>
  <si>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</si>
  <si>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</si>
  <si>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</si>
  <si>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</si>
  <si>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</si>
  <si>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</si>
  <si>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</si>
  <si>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</si>
  <si>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</si>
  <si>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</si>
  <si>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</si>
  <si>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</si>
  <si>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</si>
  <si>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</si>
  <si>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</si>
  <si>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</si>
  <si>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</si>
  <si>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</si>
  <si>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</si>
  <si>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</si>
  <si>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</si>
  <si>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</si>
  <si>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</si>
  <si>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</si>
  <si>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</si>
  <si>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</si>
  <si>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</si>
  <si>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</si>
  <si>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</si>
  <si>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</si>
  <si>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</si>
  <si>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</si>
  <si>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</si>
  <si>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</si>
  <si>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</si>
  <si>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</si>
  <si>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</si>
  <si>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</si>
  <si>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</si>
  <si>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</si>
  <si>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</si>
  <si>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</si>
  <si>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</si>
  <si>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</si>
  <si>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</si>
  <si>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</si>
  <si>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</si>
  <si>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</si>
  <si>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</si>
  <si>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</si>
  <si>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</si>
  <si>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</si>
  <si>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</si>
  <si>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</si>
  <si>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</si>
  <si>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</si>
  <si>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</si>
  <si>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</si>
  <si>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</si>
  <si>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</si>
  <si>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</si>
  <si>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</si>
  <si>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</si>
  <si>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</si>
  <si>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</si>
  <si>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</si>
  <si>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</si>
  <si>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</si>
  <si>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</si>
  <si>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</si>
  <si>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</si>
  <si>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</si>
  <si>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</si>
  <si>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</si>
  <si>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</si>
  <si>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</si>
  <si>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</si>
  <si>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</si>
  <si>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</si>
  <si>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</si>
  <si>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</si>
  <si>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</si>
  <si>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</si>
  <si>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</si>
  <si>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</si>
  <si>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</si>
  <si>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</si>
  <si>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</si>
  <si>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</si>
  <si>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</si>
  <si>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</si>
  <si>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</si>
  <si>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</si>
  <si>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</si>
  <si>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</si>
  <si>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</si>
  <si>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</si>
  <si>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</si>
  <si>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</si>
  <si>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</si>
  <si>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</si>
  <si>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</si>
  <si>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</si>
  <si>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</si>
  <si>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</si>
  <si>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</si>
  <si>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</si>
  <si>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</si>
  <si>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</si>
  <si>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</si>
  <si>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</si>
  <si>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</si>
  <si>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</si>
  <si>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</si>
  <si>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</si>
  <si>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</si>
  <si>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</si>
  <si>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</si>
  <si>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</si>
  <si>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</si>
  <si>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</si>
  <si>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</si>
  <si>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</si>
  <si>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</si>
  <si>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</si>
  <si>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</si>
  <si>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</si>
  <si>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</si>
  <si>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</si>
  <si>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</si>
  <si>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</si>
  <si>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</si>
  <si>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</si>
  <si>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</si>
  <si>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</si>
  <si>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</si>
  <si>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</si>
  <si>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</si>
  <si>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</si>
  <si>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</si>
  <si>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</si>
  <si>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</si>
  <si>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</si>
  <si>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</si>
  <si>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</si>
  <si>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</si>
  <si>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</si>
  <si>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</si>
  <si>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</si>
  <si>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</si>
  <si>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</si>
  <si>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</si>
  <si>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</si>
  <si>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</si>
  <si>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</si>
  <si>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</si>
  <si>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</si>
  <si>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</si>
  <si>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</si>
  <si>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</si>
  <si>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</si>
  <si>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</si>
  <si>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</si>
  <si>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</si>
  <si>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</si>
  <si>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</si>
  <si>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</si>
  <si>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</si>
  <si>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</si>
  <si>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</si>
  <si>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</si>
  <si>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</si>
  <si>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</si>
  <si>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</si>
  <si>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</si>
  <si>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</si>
  <si>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</si>
  <si>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</si>
  <si>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</si>
  <si>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</si>
  <si>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</si>
  <si>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</si>
  <si>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</si>
  <si>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</si>
  <si>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</si>
  <si>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</si>
  <si>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</si>
  <si>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</si>
  <si>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</si>
  <si>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</si>
  <si>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</si>
  <si>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</si>
  <si>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</si>
  <si>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</si>
  <si>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</si>
  <si>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</si>
  <si>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</si>
  <si>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</si>
  <si>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</si>
  <si>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</si>
  <si>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</si>
  <si>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</si>
  <si>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</si>
  <si>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</si>
  <si>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</si>
  <si>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</si>
  <si>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</si>
  <si>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</si>
  <si>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</si>
  <si>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</si>
  <si>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</si>
  <si>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</si>
  <si>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</si>
  <si>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</si>
  <si>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</si>
  <si>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</si>
  <si>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</si>
  <si>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</si>
  <si>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</si>
  <si>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</si>
  <si>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</si>
  <si>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</si>
  <si>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</si>
  <si>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</si>
  <si>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</si>
  <si>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</si>
  <si>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</si>
  <si>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</si>
  <si>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</si>
  <si>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</si>
  <si>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</si>
  <si>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</si>
  <si>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</si>
  <si>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</si>
  <si>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</si>
  <si>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</si>
  <si>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</si>
  <si>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</si>
  <si>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</si>
  <si>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</si>
  <si>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</si>
  <si>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</si>
  <si>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</si>
  <si>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</si>
  <si>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</si>
  <si>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</si>
  <si>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</si>
  <si>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</si>
  <si>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</si>
  <si>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</si>
  <si>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</si>
  <si>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</si>
  <si>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</si>
  <si>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</si>
  <si>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</si>
  <si>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</si>
  <si>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</si>
  <si>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</si>
  <si>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</si>
  <si>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</si>
  <si>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</si>
  <si>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</si>
  <si>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</si>
  <si>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</si>
  <si>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</si>
  <si>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</si>
  <si>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</si>
  <si>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</si>
  <si>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</si>
  <si>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</si>
  <si>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</si>
  <si>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</si>
  <si>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</si>
  <si>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</si>
  <si>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</si>
  <si>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</si>
  <si>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</si>
  <si>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</si>
  <si>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</si>
  <si>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</si>
  <si>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</si>
  <si>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</si>
  <si>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</si>
  <si>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</si>
  <si>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</si>
  <si>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</si>
  <si>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</si>
  <si>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</si>
  <si>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</si>
  <si>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</si>
  <si>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</si>
  <si>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</si>
  <si>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</si>
  <si>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</si>
  <si>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</si>
  <si>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</si>
  <si>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</si>
  <si>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</si>
  <si>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</si>
  <si>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</si>
  <si>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</si>
  <si>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</si>
  <si>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</si>
  <si>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</si>
  <si>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</si>
  <si>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</si>
  <si>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</si>
  <si>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</si>
  <si>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</si>
  <si>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</si>
  <si>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</si>
  <si>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</si>
  <si>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</si>
  <si>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</si>
  <si>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</si>
  <si>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</si>
  <si>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</si>
  <si>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</si>
  <si>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</si>
  <si>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</si>
  <si>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</si>
  <si>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</si>
  <si>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</si>
  <si>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</si>
  <si>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</si>
  <si>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</si>
  <si>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</si>
  <si>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</si>
  <si>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</si>
  <si>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</si>
  <si>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</si>
  <si>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</si>
  <si>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</si>
  <si>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</si>
  <si>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</si>
  <si>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</si>
  <si>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</si>
  <si>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</si>
  <si>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</si>
  <si>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</si>
  <si>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</si>
  <si>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</si>
  <si>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</si>
  <si>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</si>
  <si>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</si>
  <si>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</si>
  <si>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</si>
  <si>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</si>
  <si>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</si>
  <si>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</si>
  <si>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</si>
  <si>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</si>
  <si>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</si>
  <si>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</si>
  <si>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</si>
  <si>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</si>
  <si>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</si>
  <si>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</si>
  <si>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</si>
  <si>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</si>
  <si>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</si>
  <si>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</si>
  <si>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</si>
  <si>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</si>
  <si>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</si>
  <si>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</si>
  <si>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</si>
  <si>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</si>
  <si>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</si>
  <si>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</si>
  <si>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</si>
  <si>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</si>
  <si>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</si>
  <si>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</si>
  <si>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</si>
  <si>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</si>
  <si>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</si>
  <si>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</si>
  <si>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</si>
  <si>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</si>
  <si>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</si>
  <si>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</si>
  <si>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</si>
  <si>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</si>
  <si>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</si>
  <si>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</si>
  <si>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</si>
  <si>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</si>
  <si>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</si>
  <si>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</si>
  <si>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</si>
  <si>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</si>
  <si>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</si>
  <si>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</si>
  <si>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</si>
  <si>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</si>
  <si>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</si>
  <si>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</si>
  <si>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</si>
  <si>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</si>
  <si>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</si>
  <si>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</si>
  <si>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</si>
  <si>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</si>
  <si>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</si>
  <si>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</si>
  <si>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</si>
  <si>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</si>
  <si>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</si>
  <si>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</si>
  <si>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</si>
  <si>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</si>
  <si>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</si>
  <si>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</si>
  <si>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</si>
  <si>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</si>
  <si>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</si>
  <si>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</si>
  <si>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</si>
  <si>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</si>
  <si>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</si>
  <si>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</si>
  <si>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</si>
  <si>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</si>
  <si>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</si>
  <si>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</si>
  <si>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</si>
  <si>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</si>
  <si>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</si>
  <si>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</si>
  <si>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</si>
  <si>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</si>
  <si>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</si>
  <si>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</si>
  <si>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</si>
  <si>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</si>
  <si>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</si>
  <si>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</si>
  <si>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</si>
  <si>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</si>
  <si>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</si>
  <si>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</si>
  <si>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</si>
  <si>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</si>
  <si>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</si>
  <si>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</si>
  <si>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</si>
  <si>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</si>
  <si>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</si>
  <si>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</si>
  <si>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</si>
  <si>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</si>
  <si>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</si>
  <si>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</si>
  <si>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</si>
  <si>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</si>
  <si>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</si>
  <si>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</si>
  <si>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</si>
  <si>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</si>
  <si>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</si>
  <si>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</si>
  <si>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</si>
  <si>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</si>
  <si>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</si>
  <si>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</si>
  <si>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</si>
  <si>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</si>
  <si>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</si>
  <si>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</si>
  <si>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</si>
  <si>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</si>
  <si>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</si>
  <si>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</si>
  <si>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</si>
  <si>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</si>
  <si>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</si>
  <si>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</si>
  <si>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</si>
  <si>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</si>
  <si>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</si>
  <si>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</si>
  <si>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</si>
  <si>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</si>
  <si>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</si>
  <si>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</si>
  <si>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</si>
  <si>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</si>
  <si>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</si>
  <si>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</si>
  <si>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</si>
  <si>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</si>
  <si>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</si>
  <si>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</si>
  <si>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</si>
  <si>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</si>
  <si>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</si>
  <si>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</si>
  <si>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</si>
  <si>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</si>
  <si>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</si>
  <si>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</si>
  <si>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</si>
  <si>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</si>
  <si>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</si>
  <si>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</si>
  <si>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</si>
  <si>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</si>
  <si>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</si>
  <si>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</si>
  <si>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</si>
  <si>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</si>
  <si>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</si>
  <si>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</si>
  <si>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</si>
  <si>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</si>
  <si>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</si>
  <si>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</si>
  <si>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</si>
  <si>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</si>
  <si>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</si>
  <si>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</si>
  <si>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</si>
  <si>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</si>
  <si>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</si>
  <si>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</si>
  <si>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</si>
  <si>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</si>
  <si>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</si>
  <si>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</si>
  <si>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</si>
  <si>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</si>
  <si>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</si>
  <si>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</si>
  <si>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</si>
  <si>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</si>
  <si>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</si>
  <si>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</si>
  <si>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</si>
  <si>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</si>
  <si>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</si>
  <si>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</si>
  <si>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</si>
  <si>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</si>
  <si>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</si>
  <si>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</si>
  <si>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</si>
  <si>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</si>
  <si>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</si>
  <si>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</si>
  <si>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</si>
  <si>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</si>
  <si>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</si>
  <si>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</si>
  <si>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</si>
  <si>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</si>
  <si>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</si>
  <si>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</si>
  <si>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</si>
  <si>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</si>
  <si>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</si>
  <si>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</si>
  <si>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</si>
  <si>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</si>
  <si>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</si>
  <si>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</si>
  <si>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</si>
  <si>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</si>
  <si>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</si>
  <si>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</si>
  <si>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</si>
  <si>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</si>
  <si>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</si>
  <si>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</si>
  <si>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</si>
  <si>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</si>
  <si>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</si>
  <si>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</si>
  <si>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</si>
  <si>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</si>
  <si>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</si>
  <si>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</si>
  <si>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</si>
  <si>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</si>
  <si>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</si>
  <si>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</si>
  <si>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</si>
  <si>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</si>
  <si>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</si>
  <si>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</si>
  <si>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</si>
  <si>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</si>
  <si>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</si>
  <si>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</si>
  <si>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</si>
  <si>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</si>
  <si>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</si>
  <si>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</si>
  <si>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</si>
  <si>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</si>
  <si>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</si>
  <si>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</si>
  <si>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</si>
  <si>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</si>
  <si>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</si>
  <si>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</si>
  <si>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</si>
  <si>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</si>
  <si>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</si>
  <si>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</si>
  <si>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</si>
  <si>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</si>
  <si>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</si>
  <si>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</si>
  <si>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</si>
  <si>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</si>
  <si>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</si>
  <si>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</si>
  <si>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</si>
  <si>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</si>
  <si>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</si>
  <si>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</si>
  <si>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</si>
  <si>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</si>
  <si>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</si>
  <si>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</si>
  <si>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</si>
  <si>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</si>
  <si>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</si>
  <si>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</si>
  <si>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</si>
  <si>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</si>
  <si>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</si>
  <si>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</si>
  <si>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</si>
  <si>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</si>
  <si>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</si>
  <si>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</si>
  <si>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</si>
  <si>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</si>
  <si>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</si>
  <si>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</si>
  <si>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</si>
  <si>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</si>
  <si>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</si>
  <si>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</si>
  <si>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</si>
  <si>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</si>
  <si>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</si>
  <si>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</si>
  <si>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</si>
  <si>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</si>
  <si>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</si>
  <si>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</si>
  <si>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</si>
  <si>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</si>
  <si>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</si>
  <si>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</si>
  <si>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</si>
  <si>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</si>
  <si>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</si>
  <si>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</si>
  <si>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</si>
  <si>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</si>
  <si>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</si>
  <si>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</si>
  <si>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</si>
  <si>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</si>
  <si>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</si>
  <si>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</si>
  <si>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</si>
  <si>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</si>
  <si>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</si>
  <si>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</si>
  <si>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</si>
  <si>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</si>
  <si>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</si>
  <si>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</si>
  <si>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</si>
  <si>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</si>
  <si>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</si>
  <si>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</si>
  <si>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</si>
  <si>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</si>
  <si>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</si>
  <si>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</si>
  <si>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</si>
  <si>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</si>
  <si>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</si>
  <si>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</si>
  <si>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</si>
  <si>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</si>
  <si>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</si>
  <si>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</si>
  <si>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</si>
  <si>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</si>
  <si>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</si>
  <si>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</si>
  <si>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</si>
  <si>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</si>
  <si>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</si>
  <si>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</si>
  <si>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</si>
  <si>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</si>
  <si>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</si>
  <si>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</si>
  <si>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</si>
  <si>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</si>
  <si>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</si>
  <si>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</si>
  <si>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</si>
  <si>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</si>
  <si>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</si>
  <si>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</si>
  <si>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</si>
  <si>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</si>
  <si>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</si>
  <si>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</si>
  <si>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</si>
  <si>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</si>
  <si>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</si>
  <si>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</si>
  <si>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</si>
  <si>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</si>
  <si>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</si>
  <si>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</si>
  <si>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</si>
  <si>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</si>
  <si>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</si>
  <si>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</si>
  <si>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</si>
  <si>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</si>
  <si>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</si>
  <si>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</si>
  <si>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</si>
  <si>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</si>
  <si>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</si>
  <si>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</si>
  <si>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</si>
  <si>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</si>
  <si>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</si>
  <si>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</si>
  <si>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</si>
  <si>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</si>
  <si>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</si>
  <si>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</si>
  <si>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</si>
  <si>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</si>
  <si>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</si>
  <si>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</si>
  <si>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</si>
  <si>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</si>
  <si>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</si>
  <si>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</si>
  <si>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</si>
  <si>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</si>
  <si>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</si>
  <si>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</si>
  <si>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</si>
  <si>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</si>
  <si>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</si>
  <si>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</si>
  <si>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</si>
  <si>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</si>
  <si>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</si>
  <si>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</si>
  <si>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</si>
  <si>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</si>
  <si>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</si>
  <si>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</si>
  <si>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</si>
  <si>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</si>
  <si>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</si>
  <si>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</si>
  <si>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</si>
  <si>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</si>
  <si>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</si>
  <si>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</si>
  <si>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</si>
  <si>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</si>
  <si>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</si>
  <si>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</si>
  <si>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</si>
  <si>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</si>
  <si>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</si>
  <si>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</si>
  <si>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</si>
  <si>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</si>
  <si>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</si>
  <si>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</si>
  <si>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</si>
  <si>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</si>
  <si>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</si>
  <si>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</si>
  <si>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</si>
  <si>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</si>
  <si>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</si>
  <si>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</si>
  <si>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</si>
  <si>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</si>
  <si>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</si>
  <si>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</si>
  <si>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</si>
  <si>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</si>
  <si>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</si>
  <si>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</si>
  <si>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</si>
  <si>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</si>
  <si>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</si>
  <si>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</si>
  <si>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</si>
  <si>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</si>
  <si>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</si>
  <si>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</si>
  <si>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</si>
  <si>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</si>
  <si>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</si>
  <si>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</si>
  <si>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</si>
  <si>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</si>
  <si>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</si>
  <si>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</si>
  <si>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</si>
  <si>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</si>
  <si>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</si>
  <si>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</si>
  <si>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</si>
  <si>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</si>
  <si>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</si>
  <si>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</si>
  <si>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</si>
  <si>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</si>
  <si>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</si>
  <si>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</si>
  <si>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</si>
  <si>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</si>
  <si>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</si>
  <si>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</si>
  <si>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</si>
  <si>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</si>
  <si>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</si>
  <si>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</si>
  <si>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</si>
  <si>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</si>
  <si>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</si>
  <si>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</si>
  <si>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</si>
  <si>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</si>
  <si>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</si>
  <si>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</si>
  <si>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</si>
  <si>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</si>
  <si>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</si>
  <si>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</si>
  <si>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</si>
  <si>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</si>
  <si>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</si>
  <si>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</si>
  <si>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</si>
  <si>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</si>
  <si>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</si>
  <si>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</si>
  <si>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</si>
  <si>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</si>
  <si>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</si>
  <si>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</si>
  <si>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</si>
  <si>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</si>
  <si>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</si>
  <si>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</si>
  <si>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</si>
  <si>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</si>
  <si>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</si>
  <si>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</si>
  <si>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</si>
  <si>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</si>
  <si>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</si>
  <si>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</si>
  <si>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</si>
  <si>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</si>
  <si>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</si>
  <si>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</si>
  <si>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</si>
  <si>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</si>
  <si>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</si>
  <si>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</si>
  <si>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</si>
  <si>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</si>
  <si>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</si>
  <si>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</si>
  <si>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</si>
  <si>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</si>
  <si>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</si>
  <si>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</si>
  <si>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</si>
  <si>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</si>
  <si>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</si>
  <si>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</si>
  <si>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</si>
  <si>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</si>
  <si>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</si>
  <si>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</si>
  <si>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</si>
  <si>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</si>
  <si>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</si>
  <si>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</si>
  <si>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</si>
  <si>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</si>
  <si>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</si>
  <si>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</si>
  <si>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</si>
  <si>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</si>
  <si>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</si>
  <si>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</si>
  <si>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</si>
  <si>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</si>
  <si>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</si>
  <si>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</si>
  <si>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</si>
  <si>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</si>
  <si>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</si>
  <si>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</si>
  <si>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</si>
  <si>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</si>
  <si>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</si>
  <si>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</si>
  <si>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</si>
  <si>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</si>
  <si>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</si>
  <si>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</si>
  <si>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</si>
  <si>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</si>
  <si>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</si>
  <si>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</si>
  <si>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</si>
  <si>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</si>
  <si>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</si>
  <si>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</si>
  <si>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</si>
  <si>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</si>
  <si>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</si>
  <si>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</si>
  <si>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</si>
  <si>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</si>
  <si>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</si>
  <si>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</si>
  <si>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</si>
  <si>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</si>
  <si>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</si>
  <si>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</si>
  <si>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</si>
  <si>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</si>
  <si>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</si>
  <si>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</si>
  <si>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</si>
  <si>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</si>
  <si>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</si>
  <si>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</si>
  <si>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</si>
  <si>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</si>
  <si>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</si>
  <si>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</si>
  <si>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</si>
  <si>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</si>
  <si>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</si>
  <si>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</si>
  <si>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</si>
  <si>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</si>
  <si>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</si>
  <si>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</si>
  <si>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</si>
  <si>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</si>
  <si>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</si>
  <si>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</si>
  <si>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</si>
  <si>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</si>
  <si>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</si>
  <si>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</si>
  <si>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</si>
  <si>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</si>
  <si>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</si>
  <si>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</si>
  <si>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</si>
  <si>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</si>
  <si>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</si>
  <si>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</si>
  <si>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</si>
  <si>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</si>
  <si>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</si>
  <si>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</si>
  <si>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</si>
  <si>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</si>
  <si>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</si>
  <si>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</si>
  <si>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</si>
  <si>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</si>
  <si>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</si>
  <si>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</si>
  <si>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</si>
  <si>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</si>
  <si>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</si>
  <si>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</si>
  <si>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</si>
  <si>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</si>
  <si>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</si>
  <si>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</si>
  <si>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</si>
  <si>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</si>
  <si>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</si>
  <si>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</si>
  <si>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</si>
  <si>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</si>
  <si>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</si>
  <si>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</si>
  <si>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</si>
  <si>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</si>
  <si>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</si>
  <si>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</si>
  <si>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</si>
  <si>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</si>
  <si>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</si>
  <si>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</si>
  <si>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</si>
  <si>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</si>
  <si>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</si>
  <si>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</si>
  <si>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</si>
  <si>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</si>
  <si>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</si>
  <si>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</si>
  <si>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</si>
  <si>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</si>
  <si>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</si>
  <si>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</si>
  <si>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</si>
  <si>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</si>
  <si>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</si>
  <si>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</si>
  <si>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</si>
  <si>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</si>
  <si>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</si>
  <si>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</si>
  <si>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</si>
  <si>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</si>
  <si>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</si>
  <si>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</si>
  <si>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</si>
  <si>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</si>
  <si>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</si>
  <si>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</si>
  <si>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</si>
  <si>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</si>
  <si>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</si>
  <si>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</si>
  <si>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</si>
  <si>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</si>
  <si>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</si>
  <si>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</si>
  <si>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</si>
  <si>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</si>
  <si>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</si>
  <si>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</si>
  <si>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</si>
  <si>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</si>
  <si>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</si>
  <si>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</si>
  <si>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</si>
  <si>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</si>
  <si>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</si>
  <si>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</si>
  <si>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</si>
  <si>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</si>
  <si>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</si>
  <si>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</si>
  <si>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</si>
  <si>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</si>
  <si>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</si>
  <si>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</si>
  <si>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</si>
  <si>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</si>
  <si>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</si>
  <si>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</si>
  <si>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</si>
  <si>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</si>
  <si>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</si>
  <si>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</si>
  <si>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</si>
  <si>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</si>
  <si>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</si>
  <si>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</si>
  <si>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</si>
  <si>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</si>
  <si>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</si>
  <si>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</si>
  <si>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</si>
  <si>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</si>
  <si>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</si>
  <si>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</si>
  <si>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</si>
  <si>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</si>
  <si>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</si>
  <si>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</si>
  <si>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</si>
  <si>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</si>
  <si>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</si>
  <si>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</si>
  <si>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</si>
  <si>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</si>
  <si>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</si>
  <si>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</si>
  <si>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</si>
  <si>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</si>
  <si>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</si>
  <si>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</si>
  <si>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</si>
  <si>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</si>
  <si>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</si>
  <si>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</si>
  <si>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</si>
  <si>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</si>
  <si>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</si>
  <si>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</si>
  <si>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</si>
  <si>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</si>
  <si>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</si>
  <si>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</si>
  <si>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</si>
  <si>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</si>
  <si>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</si>
  <si>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</si>
  <si>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</si>
  <si>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</si>
  <si>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</si>
  <si>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</si>
  <si>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</si>
  <si>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</si>
  <si>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</si>
  <si>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</si>
  <si>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</si>
  <si>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</si>
  <si>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</si>
  <si>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</si>
  <si>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</si>
  <si>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</si>
  <si>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</si>
  <si>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</si>
  <si>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</si>
  <si>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</si>
  <si>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</si>
  <si>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</si>
  <si>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</si>
  <si>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</si>
  <si>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</si>
  <si>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</si>
  <si>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</si>
  <si>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</si>
  <si>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</si>
  <si>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</si>
  <si>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</si>
  <si>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</si>
  <si>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</si>
  <si>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</si>
  <si>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</si>
  <si>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</si>
  <si>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</si>
  <si>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</si>
  <si>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</si>
  <si>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</si>
  <si>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</si>
  <si>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</si>
  <si>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</si>
  <si>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</si>
  <si>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</si>
  <si>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</si>
  <si>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</si>
  <si>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</si>
  <si>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</si>
  <si>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</si>
  <si>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</si>
  <si>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</si>
  <si>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</si>
  <si>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</si>
  <si>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</si>
  <si>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</si>
  <si>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</si>
  <si>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</si>
  <si>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</si>
  <si>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</si>
  <si>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</si>
  <si>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</si>
  <si>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</si>
  <si>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</si>
  <si>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</si>
  <si>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</si>
  <si>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</si>
  <si>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</si>
  <si>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</si>
  <si>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</si>
  <si>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</si>
  <si>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</si>
  <si>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</si>
  <si>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</si>
  <si>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</si>
  <si>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</si>
  <si>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</si>
  <si>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</si>
  <si>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</si>
  <si>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</si>
  <si>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</si>
  <si>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</si>
  <si>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</si>
  <si>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</si>
  <si>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</si>
  <si>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</si>
  <si>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</si>
  <si>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</si>
  <si>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</si>
  <si>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</si>
  <si>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</si>
  <si>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</si>
  <si>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</si>
  <si>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</si>
  <si>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</si>
  <si>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</si>
  <si>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</si>
  <si>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</si>
  <si>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</si>
  <si>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</si>
  <si>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</si>
  <si>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</si>
  <si>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</si>
  <si>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</si>
  <si>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</si>
  <si>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</si>
  <si>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</si>
  <si>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</si>
  <si>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</si>
  <si>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</si>
  <si>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</si>
  <si>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</si>
  <si>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</si>
  <si>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</si>
  <si>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</si>
  <si>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</si>
  <si>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</si>
  <si>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</si>
  <si>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</si>
  <si>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</si>
  <si>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</si>
  <si>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</si>
  <si>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</si>
  <si>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</si>
  <si>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</si>
  <si>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</si>
  <si>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</si>
  <si>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</si>
  <si>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</si>
  <si>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</si>
  <si>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</si>
  <si>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</si>
  <si>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</si>
  <si>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</si>
  <si>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</si>
  <si>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</si>
  <si>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</si>
  <si>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</si>
  <si>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</si>
  <si>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</si>
  <si>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</si>
  <si>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</si>
  <si>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</si>
  <si>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</si>
  <si>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</si>
  <si>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</si>
  <si>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</si>
  <si>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</si>
  <si>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</si>
  <si>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</si>
  <si>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</si>
  <si>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</si>
  <si>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</si>
  <si>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</si>
  <si>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</si>
  <si>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</si>
  <si>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</si>
  <si>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</si>
  <si>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</si>
  <si>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</si>
  <si>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</si>
  <si>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</si>
  <si>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</si>
  <si>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</si>
  <si>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</si>
  <si>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</si>
  <si>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</si>
  <si>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</si>
  <si>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</si>
  <si>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</si>
  <si>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</si>
  <si>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</si>
  <si>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</si>
  <si>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</si>
  <si>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</si>
  <si>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</si>
  <si>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</si>
  <si>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</si>
  <si>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</si>
  <si>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</si>
  <si>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</si>
  <si>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</si>
  <si>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</si>
  <si>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</si>
  <si>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</si>
  <si>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</si>
  <si>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</si>
  <si>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</si>
  <si>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</si>
  <si>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</si>
  <si>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</si>
  <si>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</si>
  <si>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</si>
  <si>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</si>
  <si>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</si>
  <si>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</si>
  <si>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</si>
  <si>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</si>
  <si>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</si>
  <si>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</si>
  <si>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</si>
  <si>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</si>
  <si>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</si>
  <si>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</si>
  <si>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</si>
  <si>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</si>
  <si>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</si>
  <si>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</si>
  <si>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</si>
  <si>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</si>
  <si>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</si>
  <si>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</si>
  <si>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</si>
  <si>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</si>
  <si>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</si>
  <si>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</si>
  <si>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</si>
  <si>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</si>
  <si>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</si>
  <si>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</si>
  <si>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</si>
  <si>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</si>
  <si>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</si>
  <si>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</si>
  <si>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</si>
  <si>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</si>
  <si>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</si>
  <si>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</si>
  <si>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</si>
  <si>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</si>
  <si>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</si>
  <si>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</si>
  <si>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</si>
  <si>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</si>
  <si>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</si>
  <si>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</si>
  <si>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</si>
  <si>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</si>
  <si>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</si>
  <si>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</si>
  <si>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</si>
  <si>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</si>
  <si>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</si>
  <si>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</si>
  <si>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</si>
  <si>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</si>
  <si>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</si>
  <si>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</si>
  <si>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</si>
  <si>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</si>
  <si>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</si>
  <si>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</si>
  <si>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</si>
  <si>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</si>
  <si>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</si>
  <si>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</si>
  <si>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</si>
  <si>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</si>
  <si>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</si>
  <si>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</si>
  <si>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</si>
  <si>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</si>
  <si>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</si>
  <si>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</si>
  <si>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</si>
  <si>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</si>
  <si>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</si>
  <si>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</si>
  <si>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</si>
  <si>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</si>
  <si>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</si>
  <si>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</si>
  <si>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</si>
  <si>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</si>
  <si>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</si>
  <si>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</si>
  <si>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</si>
  <si>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</si>
  <si>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</si>
  <si>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</si>
  <si>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</si>
  <si>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</si>
  <si>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</si>
  <si>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</si>
  <si>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</si>
  <si>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</si>
  <si>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</si>
  <si>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</si>
  <si>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</si>
  <si>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</si>
  <si>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</si>
  <si>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</si>
  <si>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</si>
  <si>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</si>
  <si>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</si>
  <si>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</si>
  <si>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</si>
  <si>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</si>
  <si>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</si>
  <si>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</si>
  <si>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</si>
  <si>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</si>
  <si>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</si>
  <si>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</si>
  <si>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</si>
  <si>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</si>
  <si>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</si>
  <si>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</si>
  <si>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</si>
  <si>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</si>
  <si>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</si>
  <si>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</si>
  <si>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</si>
  <si>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</si>
  <si>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</si>
  <si>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</si>
  <si>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</si>
  <si>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</si>
  <si>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</si>
  <si>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</si>
  <si>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</si>
  <si>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</si>
  <si>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</si>
  <si>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</si>
  <si>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</si>
  <si>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</si>
  <si>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</si>
  <si>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</si>
  <si>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</si>
  <si>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</si>
  <si>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</si>
  <si>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</si>
  <si>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</si>
  <si>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</si>
  <si>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</si>
  <si>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</si>
  <si>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</si>
  <si>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</si>
  <si>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</si>
  <si>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</si>
  <si>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</si>
  <si>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</si>
  <si>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</si>
  <si>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</si>
  <si>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</si>
  <si>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</si>
  <si>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</si>
  <si>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</si>
  <si>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</si>
  <si>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</si>
  <si>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</si>
  <si>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</si>
  <si>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</si>
  <si>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</si>
  <si>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</si>
  <si>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</si>
  <si>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</si>
  <si>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</si>
  <si>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</si>
  <si>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</si>
  <si>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</si>
  <si>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</si>
  <si>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</si>
  <si>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</si>
  <si>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</si>
  <si>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</si>
  <si>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</si>
  <si>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</si>
  <si>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</si>
  <si>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</si>
  <si>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</si>
  <si>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</si>
  <si>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</si>
  <si>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</si>
  <si>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</si>
  <si>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</si>
  <si>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</si>
  <si>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</si>
  <si>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</si>
  <si>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</si>
  <si>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</si>
  <si>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</si>
  <si>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</si>
  <si>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</si>
  <si>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</si>
  <si>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</si>
  <si>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</si>
  <si>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</si>
  <si>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</si>
  <si>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</si>
  <si>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</si>
  <si>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</si>
  <si>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</si>
  <si>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</si>
  <si>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</si>
  <si>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</si>
  <si>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</si>
  <si>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</si>
  <si>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</si>
  <si>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</si>
  <si>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</si>
  <si>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</si>
  <si>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</si>
  <si>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</si>
  <si>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</si>
  <si>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</si>
  <si>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</si>
  <si>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</si>
  <si>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</si>
  <si>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</si>
  <si>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</si>
  <si>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</si>
  <si>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</si>
  <si>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</si>
  <si>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</si>
  <si>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</si>
  <si>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</si>
  <si>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</si>
  <si>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</si>
  <si>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</si>
  <si>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</si>
  <si>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</si>
  <si>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</si>
  <si>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</si>
  <si>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</si>
  <si>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</si>
  <si>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</si>
  <si>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</si>
  <si>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</si>
  <si>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</si>
  <si>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</si>
  <si>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</si>
  <si>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</si>
  <si>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</si>
  <si>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</si>
  <si>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</si>
  <si>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</si>
  <si>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</si>
  <si>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</si>
  <si>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</si>
  <si>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</si>
  <si>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</si>
  <si>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</si>
  <si>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</si>
  <si>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</si>
  <si>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</si>
  <si>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</si>
  <si>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</si>
  <si>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</si>
  <si>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</si>
  <si>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</si>
  <si>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</si>
  <si>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</si>
  <si>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</si>
  <si>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</si>
  <si>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</si>
  <si>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</si>
  <si>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</si>
  <si>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</si>
  <si>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</si>
  <si>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</si>
  <si>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</si>
  <si>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</si>
  <si>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</si>
  <si>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</si>
  <si>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</si>
  <si>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</si>
  <si>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</si>
  <si>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</si>
  <si>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</si>
  <si>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</si>
  <si>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</si>
  <si>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</si>
  <si>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</si>
  <si>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</si>
  <si>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</si>
  <si>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</si>
  <si>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</si>
  <si>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</si>
  <si>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</si>
  <si>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</si>
  <si>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</si>
  <si>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</si>
  <si>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</si>
  <si>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</si>
  <si>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</si>
  <si>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</si>
  <si>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</si>
  <si>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</si>
  <si>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</si>
  <si>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</si>
  <si>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</si>
  <si>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</si>
  <si>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</si>
  <si>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</si>
  <si>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</si>
  <si>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</si>
  <si>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</si>
  <si>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</si>
  <si>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</si>
  <si>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</si>
  <si>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</si>
  <si>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</si>
  <si>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</si>
  <si>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</si>
  <si>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</si>
  <si>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</si>
  <si>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</si>
  <si>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</si>
  <si>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</si>
  <si>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</si>
  <si>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</si>
  <si>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</si>
  <si>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</si>
  <si>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</si>
  <si>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</si>
  <si>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</si>
  <si>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</si>
  <si>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</si>
  <si>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</si>
  <si>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</si>
  <si>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</si>
  <si>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</si>
  <si>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</si>
  <si>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</si>
  <si>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</si>
  <si>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</si>
  <si>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</si>
  <si>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</si>
  <si>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</si>
  <si>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</si>
  <si>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</si>
  <si>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</si>
  <si>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</si>
  <si>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</si>
  <si>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</si>
  <si>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</si>
  <si>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</si>
  <si>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</si>
  <si>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</si>
  <si>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</si>
  <si>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</si>
  <si>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</si>
  <si>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</si>
  <si>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</si>
  <si>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</si>
  <si>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</si>
  <si>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</si>
  <si>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</si>
  <si>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</si>
  <si>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</si>
  <si>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</si>
  <si>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</si>
  <si>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</si>
  <si>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</si>
  <si>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</si>
  <si>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</si>
  <si>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</si>
  <si>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</si>
  <si>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</si>
  <si>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</si>
  <si>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</si>
  <si>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</si>
  <si>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</si>
  <si>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</si>
  <si>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</si>
  <si>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</si>
  <si>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</si>
  <si>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</si>
  <si>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</si>
  <si>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</si>
  <si>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</si>
  <si>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</si>
  <si>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</si>
  <si>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</si>
  <si>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</si>
  <si>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</si>
  <si>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</si>
  <si>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</si>
  <si>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</si>
  <si>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</si>
  <si>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</si>
  <si>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</si>
  <si>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</si>
  <si>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</si>
  <si>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</si>
  <si>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</si>
  <si>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</si>
  <si>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</si>
  <si>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</si>
  <si>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</si>
  <si>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</si>
  <si>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</si>
  <si>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</si>
  <si>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</si>
  <si>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</si>
  <si>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</si>
  <si>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</si>
  <si>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</si>
  <si>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</si>
  <si>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</si>
  <si>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</si>
  <si>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</si>
  <si>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</si>
  <si>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</si>
  <si>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</si>
  <si>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</si>
  <si>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</si>
  <si>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</si>
  <si>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</si>
  <si>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</si>
  <si>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</si>
  <si>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</si>
  <si>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</si>
  <si>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</si>
  <si>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</si>
  <si>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</si>
  <si>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</si>
  <si>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</si>
  <si>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</si>
  <si>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</si>
  <si>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</si>
  <si>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</si>
  <si>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</si>
  <si>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</si>
  <si>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</si>
  <si>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</si>
  <si>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</si>
  <si>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</si>
  <si>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</si>
  <si>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</si>
  <si>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</si>
  <si>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</si>
  <si>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</si>
  <si>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</si>
  <si>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</si>
  <si>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</si>
  <si>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</si>
  <si>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</si>
  <si>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</si>
  <si>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</si>
  <si>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</si>
  <si>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</si>
  <si>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</si>
  <si>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</si>
  <si>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</si>
  <si>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</si>
  <si>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</si>
  <si>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</si>
  <si>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</si>
  <si>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</si>
  <si>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</si>
  <si>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</si>
  <si>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</si>
  <si>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</si>
  <si>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</si>
  <si>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</si>
  <si>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</si>
  <si>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</si>
  <si>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</si>
  <si>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</si>
  <si>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</si>
  <si>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</si>
  <si>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</si>
  <si>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</si>
  <si>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</si>
  <si>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</si>
  <si>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</si>
  <si>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</si>
  <si>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</si>
  <si>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</si>
  <si>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</si>
  <si>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</si>
  <si>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</si>
  <si>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</si>
  <si>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</si>
  <si>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</si>
  <si>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</si>
  <si>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</si>
  <si>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</si>
  <si>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</si>
  <si>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</si>
  <si>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</si>
  <si>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</si>
  <si>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</si>
  <si>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</si>
  <si>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</si>
  <si>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</si>
  <si>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</si>
  <si>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</si>
  <si>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</si>
  <si>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</si>
  <si>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</si>
  <si>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</si>
  <si>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</si>
  <si>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</si>
  <si>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</si>
  <si>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</si>
  <si>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</si>
  <si>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</si>
  <si>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</si>
  <si>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</si>
  <si>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</si>
  <si>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</si>
  <si>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</si>
  <si>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</si>
  <si>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</si>
  <si>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</si>
  <si>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</si>
  <si>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</si>
  <si>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</si>
  <si>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</si>
  <si>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</si>
  <si>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</si>
  <si>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</si>
  <si>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</si>
  <si>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</si>
  <si>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</si>
  <si>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</si>
  <si>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</si>
  <si>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</si>
  <si>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</si>
  <si>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</si>
  <si>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</si>
  <si>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</si>
  <si>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</si>
  <si>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</si>
  <si>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</si>
  <si>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</si>
  <si>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</si>
  <si>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</si>
  <si>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</si>
  <si>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</si>
  <si>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</si>
  <si>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</si>
  <si>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</si>
  <si>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</si>
  <si>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</si>
  <si>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</si>
  <si>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</si>
  <si>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</si>
  <si>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</si>
  <si>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</si>
  <si>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</si>
  <si>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</si>
  <si>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</si>
  <si>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</si>
  <si>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</si>
  <si>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</si>
  <si>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</si>
  <si>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</si>
  <si>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</si>
  <si>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</si>
  <si>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</si>
  <si>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</si>
  <si>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</si>
  <si>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</si>
  <si>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</si>
  <si>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</si>
  <si>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</si>
  <si>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</si>
  <si>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</si>
  <si>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</si>
  <si>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</si>
  <si>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</si>
  <si>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</si>
  <si>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</si>
  <si>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</si>
  <si>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</si>
  <si>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</si>
  <si>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</si>
  <si>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</si>
  <si>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</si>
  <si>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</si>
  <si>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</si>
  <si>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</si>
  <si>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</si>
  <si>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</si>
  <si>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</si>
  <si>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</si>
  <si>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</si>
  <si>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</si>
  <si>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</si>
  <si>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</si>
  <si>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</si>
  <si>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</si>
  <si>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</si>
  <si>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</si>
  <si>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</si>
  <si>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</si>
  <si>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</si>
  <si>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</si>
  <si>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</si>
  <si>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</si>
  <si>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</si>
  <si>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</si>
  <si>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</si>
  <si>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</si>
  <si>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</si>
  <si>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</si>
  <si>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</si>
  <si>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</si>
  <si>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</si>
  <si>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</si>
  <si>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</si>
  <si>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</si>
  <si>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</si>
  <si>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</si>
  <si>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</si>
  <si>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</si>
  <si>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</si>
  <si>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</si>
  <si>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</si>
  <si>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</si>
  <si>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</si>
  <si>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</si>
  <si>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</si>
  <si>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</si>
  <si>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</si>
  <si>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</si>
  <si>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</si>
  <si>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</si>
  <si>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</si>
  <si>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</si>
  <si>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</si>
  <si>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</si>
  <si>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</si>
  <si>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</si>
  <si>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</si>
  <si>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</si>
  <si>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</si>
  <si>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</si>
  <si>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</si>
  <si>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</si>
  <si>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</si>
  <si>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</si>
  <si>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</si>
  <si>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</si>
  <si>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</si>
  <si>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</si>
  <si>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</si>
  <si>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</si>
  <si>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</si>
  <si>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</si>
  <si>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</si>
  <si>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</si>
  <si>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</si>
  <si>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</si>
  <si>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</si>
  <si>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</si>
  <si>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</si>
  <si>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</si>
  <si>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</si>
  <si>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</si>
  <si>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</si>
  <si>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</si>
  <si>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</si>
  <si>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</si>
  <si>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</si>
  <si>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</si>
  <si>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</si>
  <si>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</si>
  <si>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</si>
  <si>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</si>
  <si>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</si>
  <si>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</si>
  <si>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</si>
  <si>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</si>
  <si>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</si>
  <si>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</si>
  <si>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</si>
  <si>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</si>
  <si>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</si>
  <si>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</si>
  <si>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</si>
  <si>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</si>
  <si>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</si>
  <si>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</si>
  <si>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</si>
  <si>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</si>
  <si>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</si>
  <si>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</si>
  <si>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</si>
  <si>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</si>
  <si>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</si>
  <si>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</si>
  <si>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</si>
  <si>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</si>
  <si>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</si>
  <si>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</si>
  <si>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</si>
  <si>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</si>
  <si>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</si>
  <si>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</si>
  <si>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</si>
  <si>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</si>
  <si>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</si>
  <si>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</si>
  <si>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</si>
  <si>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</si>
  <si>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</si>
  <si>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</si>
  <si>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</si>
  <si>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</si>
  <si>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</si>
  <si>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</si>
  <si>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</si>
  <si>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</si>
  <si>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</si>
  <si>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</si>
  <si>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</si>
  <si>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</si>
  <si>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</si>
  <si>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</si>
  <si>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</si>
  <si>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</si>
  <si>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</si>
  <si>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</si>
  <si>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</si>
  <si>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</si>
  <si>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</si>
  <si>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</si>
  <si>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</si>
  <si>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</si>
  <si>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</si>
  <si>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</si>
  <si>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</si>
  <si>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</si>
  <si>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</si>
  <si>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</si>
  <si>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</si>
  <si>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</si>
  <si>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</si>
  <si>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</si>
  <si>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</si>
  <si>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</si>
  <si>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</si>
  <si>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</si>
  <si>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</si>
  <si>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</si>
  <si>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</si>
  <si>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</si>
  <si>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</si>
  <si>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</si>
  <si>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</si>
  <si>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</si>
  <si>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</si>
  <si>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</si>
  <si>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</si>
  <si>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</si>
  <si>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</si>
  <si>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</si>
  <si>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</si>
  <si>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</si>
  <si>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</si>
  <si>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</si>
  <si>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</si>
  <si>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</si>
  <si>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</si>
  <si>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</si>
  <si>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</si>
  <si>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</si>
  <si>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</si>
  <si>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</si>
  <si>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</si>
  <si>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</si>
  <si>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</si>
  <si>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</si>
  <si>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</si>
  <si>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</si>
  <si>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</si>
  <si>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</si>
  <si>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</si>
  <si>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</si>
  <si>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</si>
  <si>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</si>
  <si>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</si>
  <si>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</si>
  <si>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</si>
  <si>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</si>
  <si>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</si>
  <si>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</si>
  <si>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</si>
  <si>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</si>
  <si>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</si>
  <si>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</si>
  <si>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</si>
  <si>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</si>
  <si>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</si>
  <si>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</si>
  <si>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</si>
  <si>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</si>
  <si>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</si>
  <si>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</si>
  <si>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</si>
  <si>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</si>
  <si>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</si>
  <si>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</si>
  <si>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</si>
  <si>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</si>
  <si>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</si>
  <si>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</si>
  <si>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</si>
  <si>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</si>
  <si>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</si>
  <si>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</si>
  <si>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</si>
  <si>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</si>
  <si>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</si>
  <si>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</si>
  <si>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</si>
  <si>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</si>
  <si>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</si>
  <si>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</si>
  <si>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</si>
  <si>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</si>
  <si>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</si>
  <si>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</si>
  <si>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</si>
  <si>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</si>
  <si>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</si>
  <si>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</si>
  <si>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</si>
  <si>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</si>
  <si>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</si>
  <si>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</si>
  <si>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</si>
  <si>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</si>
  <si>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</si>
  <si>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</si>
  <si>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</si>
  <si>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</si>
  <si>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</si>
  <si>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</si>
  <si>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</si>
  <si>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</si>
  <si>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</si>
  <si>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</si>
  <si>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</si>
  <si>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</si>
  <si>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</si>
  <si>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</si>
  <si>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</si>
  <si>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</si>
  <si>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</si>
  <si>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</si>
  <si>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</si>
  <si>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</si>
  <si>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</si>
  <si>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</si>
  <si>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</si>
  <si>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</si>
  <si>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</si>
  <si>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</si>
  <si>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</si>
  <si>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</si>
  <si>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</si>
  <si>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</si>
  <si>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</si>
  <si>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</si>
  <si>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</si>
  <si>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</si>
  <si>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</si>
  <si>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</si>
  <si>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</si>
  <si>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</si>
  <si>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</si>
  <si>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</si>
  <si>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</si>
  <si>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</si>
  <si>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</si>
  <si>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</si>
  <si>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</si>
  <si>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</si>
  <si>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</si>
  <si>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</si>
  <si>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</si>
  <si>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</si>
  <si>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</si>
  <si>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</si>
  <si>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</si>
  <si>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</si>
  <si>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</si>
  <si>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</si>
  <si>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</si>
  <si>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</si>
  <si>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</si>
  <si>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</si>
  <si>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</si>
  <si>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</si>
  <si>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</si>
  <si>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</si>
  <si>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</si>
  <si>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</si>
  <si>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</si>
  <si>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</si>
  <si>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</si>
  <si>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</si>
  <si>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</si>
  <si>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</si>
  <si>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</si>
  <si>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</si>
  <si>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</si>
  <si>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</si>
  <si>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</si>
  <si>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</si>
  <si>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</si>
  <si>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</si>
  <si>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</si>
  <si>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</si>
  <si>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</si>
  <si>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</si>
  <si>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</si>
  <si>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</si>
  <si>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</si>
  <si>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</si>
  <si>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</si>
  <si>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</si>
  <si>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</si>
  <si>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</si>
  <si>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</si>
  <si>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</si>
  <si>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</si>
  <si>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</si>
  <si>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</si>
  <si>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</si>
  <si>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</si>
  <si>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</si>
  <si>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</si>
  <si>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</si>
  <si>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</si>
  <si>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</si>
  <si>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</si>
  <si>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</si>
  <si>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</si>
  <si>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</si>
  <si>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</si>
  <si>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</si>
  <si>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</si>
  <si>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</si>
  <si>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</si>
  <si>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</si>
  <si>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</si>
  <si>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</si>
  <si>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</si>
  <si>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</si>
  <si>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</si>
  <si>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</si>
  <si>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</si>
  <si>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</si>
  <si>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</si>
  <si>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</si>
  <si>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</si>
  <si>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</si>
  <si>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</si>
  <si>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</si>
  <si>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</si>
  <si>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</si>
  <si>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</si>
  <si>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</si>
  <si>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</si>
  <si>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</si>
  <si>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</si>
  <si>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</si>
  <si>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</si>
  <si>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</si>
  <si>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</si>
  <si>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</si>
  <si>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</si>
  <si>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</si>
  <si>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</si>
  <si>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</si>
  <si>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</si>
  <si>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</si>
  <si>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</si>
  <si>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</si>
  <si>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</si>
  <si>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</si>
  <si>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</si>
  <si>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</si>
  <si>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</si>
  <si>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</si>
  <si>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</si>
  <si>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</si>
  <si>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</si>
  <si>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</si>
  <si>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</si>
  <si>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</si>
  <si>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</si>
  <si>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</si>
  <si>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</si>
  <si>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</si>
  <si>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</si>
  <si>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</si>
  <si>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</si>
  <si>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</si>
  <si>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</si>
  <si>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</si>
  <si>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</si>
  <si>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</si>
  <si>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</si>
  <si>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</si>
  <si>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</si>
  <si>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</si>
  <si>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</si>
  <si>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</si>
  <si>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</si>
  <si>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</si>
  <si>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</si>
  <si>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</si>
  <si>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</si>
  <si>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</si>
  <si>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</si>
  <si>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</si>
  <si>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</si>
  <si>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</si>
  <si>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</si>
  <si>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</si>
  <si>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</si>
  <si>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</si>
  <si>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</si>
  <si>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</si>
  <si>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</si>
  <si>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</si>
  <si>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</si>
  <si>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</si>
  <si>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</si>
  <si>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</si>
  <si>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</si>
  <si>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</si>
  <si>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</si>
  <si>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</si>
  <si>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</si>
  <si>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</si>
  <si>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</si>
  <si>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</si>
  <si>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</si>
  <si>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</si>
  <si>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</si>
  <si>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</si>
  <si>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</si>
  <si>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</si>
  <si>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</si>
  <si>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</si>
  <si>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</si>
  <si>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</si>
  <si>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</si>
  <si>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</si>
  <si>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</si>
  <si>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</si>
  <si>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</si>
  <si>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</si>
  <si>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</si>
  <si>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</si>
  <si>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</si>
  <si>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</si>
  <si>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</si>
  <si>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</si>
  <si>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</si>
  <si>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</si>
  <si>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</si>
  <si>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</si>
  <si>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</si>
  <si>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</si>
  <si>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</si>
  <si>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</si>
  <si>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</si>
  <si>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</si>
  <si>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</si>
  <si>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</si>
  <si>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</si>
  <si>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</si>
  <si>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</si>
  <si>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</si>
  <si>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</si>
  <si>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</si>
  <si>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</si>
  <si>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</si>
  <si>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</si>
  <si>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</si>
  <si>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</si>
  <si>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</si>
  <si>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</si>
  <si>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</si>
  <si>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</si>
  <si>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</si>
  <si>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</si>
  <si>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</si>
  <si>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</si>
  <si>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</si>
  <si>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</si>
  <si>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</si>
  <si>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</si>
  <si>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</si>
  <si>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</si>
  <si>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</si>
  <si>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</si>
  <si>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</si>
  <si>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</si>
  <si>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</si>
  <si>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</si>
  <si>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</si>
  <si>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</si>
  <si>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</si>
  <si>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</si>
  <si>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</si>
  <si>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</si>
  <si>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</si>
  <si>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</si>
  <si>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</si>
  <si>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</si>
  <si>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</si>
  <si>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</si>
  <si>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</si>
  <si>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</si>
  <si>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</si>
  <si>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</si>
  <si>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</si>
  <si>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</si>
  <si>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</si>
  <si>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</si>
  <si>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</si>
  <si>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</si>
  <si>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</si>
  <si>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</si>
  <si>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</si>
  <si>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</si>
  <si>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</si>
  <si>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</si>
  <si>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</si>
  <si>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</si>
  <si>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</si>
  <si>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</si>
  <si>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</si>
  <si>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</si>
  <si>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</si>
  <si>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</si>
  <si>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</si>
  <si>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</si>
  <si>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</si>
  <si>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</si>
  <si>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</si>
  <si>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</si>
  <si>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</si>
  <si>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</si>
  <si>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</si>
  <si>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</si>
  <si>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</si>
  <si>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</si>
  <si>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</si>
  <si>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</si>
  <si>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</si>
  <si>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</si>
  <si>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</si>
  <si>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</si>
  <si>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</si>
  <si>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</si>
  <si>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</si>
  <si>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</si>
  <si>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</si>
  <si>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</si>
  <si>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</si>
  <si>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</si>
  <si>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</si>
  <si>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</si>
  <si>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</si>
  <si>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</si>
  <si>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</si>
  <si>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</si>
  <si>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</si>
  <si>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</si>
  <si>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</si>
  <si>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</si>
  <si>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</si>
  <si>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</si>
  <si>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</si>
  <si>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</si>
  <si>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</si>
  <si>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</si>
  <si>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</si>
  <si>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</si>
  <si>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</si>
  <si>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</si>
  <si>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</si>
  <si>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</si>
  <si>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</si>
  <si>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</si>
  <si>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</si>
  <si>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</si>
  <si>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</si>
  <si>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</si>
  <si>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</si>
  <si>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</si>
  <si>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</si>
  <si>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</si>
  <si>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</si>
  <si>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</si>
  <si>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</si>
  <si>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</si>
  <si>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</si>
  <si>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</si>
  <si>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</si>
  <si>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</si>
  <si>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</si>
  <si>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</si>
  <si>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</si>
  <si>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</si>
  <si>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</si>
  <si>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</si>
  <si>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</si>
  <si>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</si>
  <si>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</si>
  <si>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</si>
  <si>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</si>
  <si>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</si>
  <si>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</si>
  <si>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</si>
  <si>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</si>
  <si>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</si>
  <si>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</si>
  <si>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</si>
  <si>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</si>
  <si>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</si>
  <si>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</si>
  <si>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</si>
  <si>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</si>
  <si>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</si>
  <si>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</si>
  <si>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</si>
  <si>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</si>
  <si>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</si>
  <si>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</si>
  <si>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</si>
  <si>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</si>
  <si>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</si>
  <si>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</si>
  <si>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</si>
  <si>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</si>
  <si>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</si>
  <si>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</si>
  <si>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</si>
  <si>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</si>
  <si>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</si>
  <si>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</si>
  <si>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</si>
  <si>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</si>
  <si>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</si>
  <si>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</si>
  <si>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</si>
  <si>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</si>
  <si>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</si>
  <si>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</si>
  <si>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</si>
  <si>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</si>
  <si>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</si>
  <si>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</si>
  <si>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</si>
  <si>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</si>
  <si>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</si>
  <si>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</si>
  <si>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</si>
  <si>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</si>
  <si>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</si>
  <si>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</si>
  <si>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</si>
  <si>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</si>
  <si>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</si>
  <si>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</si>
  <si>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</si>
  <si>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</si>
  <si>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</si>
  <si>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</si>
  <si>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</si>
  <si>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</si>
  <si>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</si>
  <si>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</si>
  <si>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</si>
  <si>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</si>
  <si>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</si>
  <si>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</si>
  <si>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</si>
  <si>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</si>
  <si>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</si>
  <si>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</si>
  <si>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</si>
  <si>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</si>
  <si>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</si>
  <si>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</si>
  <si>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</si>
  <si>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</si>
  <si>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</si>
  <si>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</si>
  <si>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</si>
  <si>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</si>
  <si>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</si>
  <si>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</si>
  <si>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</si>
  <si>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</si>
  <si>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</si>
  <si>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</si>
  <si>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</si>
  <si>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</si>
  <si>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</si>
  <si>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</si>
  <si>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</si>
  <si>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</si>
  <si>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</si>
  <si>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</si>
  <si>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</si>
  <si>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</si>
  <si>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</si>
  <si>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</si>
  <si>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</si>
  <si>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</si>
  <si>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</si>
  <si>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</si>
  <si>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</si>
  <si>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</si>
  <si>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</si>
  <si>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</si>
  <si>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</si>
  <si>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</si>
  <si>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</si>
  <si>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</si>
  <si>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</si>
  <si>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</si>
  <si>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</si>
  <si>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</si>
  <si>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</si>
  <si>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</si>
  <si>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</si>
  <si>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</si>
  <si>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</si>
  <si>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</si>
  <si>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</si>
  <si>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</si>
  <si>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</si>
  <si>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</si>
  <si>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</si>
  <si>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</si>
  <si>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</si>
  <si>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</si>
  <si>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</si>
  <si>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</si>
  <si>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</si>
  <si>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</si>
  <si>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</si>
  <si>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</si>
  <si>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</si>
  <si>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</si>
  <si>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</si>
  <si>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</si>
  <si>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</si>
  <si>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</si>
  <si>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</si>
  <si>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</si>
  <si>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</si>
  <si>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</si>
  <si>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</si>
  <si>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</si>
  <si>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</si>
  <si>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</si>
  <si>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</si>
  <si>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</si>
  <si>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</si>
  <si>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</si>
  <si>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</si>
  <si>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</si>
  <si>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</si>
  <si>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</si>
  <si>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</si>
  <si>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</si>
  <si>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</si>
  <si>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</si>
  <si>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</si>
  <si>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</si>
  <si>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</si>
  <si>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</si>
  <si>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</si>
  <si>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</si>
  <si>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</si>
  <si>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</si>
  <si>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</si>
  <si>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</si>
  <si>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</si>
  <si>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</si>
  <si>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</si>
  <si>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</si>
  <si>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</si>
  <si>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</si>
  <si>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</si>
  <si>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</si>
  <si>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</si>
  <si>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</si>
  <si>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</si>
  <si>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</si>
  <si>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</si>
  <si>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</si>
  <si>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</si>
  <si>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</si>
  <si>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</si>
  <si>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</si>
  <si>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</si>
  <si>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</si>
  <si>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</si>
  <si>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</si>
  <si>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</si>
  <si>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</si>
  <si>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</si>
  <si>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</si>
  <si>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</si>
  <si>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</si>
  <si>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</si>
  <si>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</si>
  <si>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</si>
  <si>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</si>
  <si>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</si>
  <si>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</si>
  <si>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</si>
  <si>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</si>
  <si>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</si>
  <si>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</si>
  <si>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</si>
  <si>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</si>
  <si>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</si>
  <si>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</si>
  <si>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</si>
  <si>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</si>
  <si>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</si>
  <si>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</si>
  <si>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</si>
  <si>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</si>
  <si>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</si>
  <si>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</si>
  <si>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</si>
  <si>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</si>
  <si>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</si>
  <si>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</si>
  <si>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</si>
  <si>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</si>
  <si>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</si>
  <si>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</si>
  <si>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</si>
  <si>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</si>
  <si>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</si>
  <si>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</si>
  <si>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</si>
  <si>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</si>
  <si>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</si>
  <si>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</si>
  <si>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</si>
  <si>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</si>
  <si>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</si>
  <si>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</si>
  <si>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</si>
  <si>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</si>
  <si>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</si>
  <si>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</si>
  <si>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</si>
  <si>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</si>
  <si>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</si>
  <si>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</si>
  <si>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</si>
  <si>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</si>
  <si>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</si>
  <si>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</si>
  <si>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</si>
  <si>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</si>
  <si>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</si>
  <si>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</si>
  <si>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</si>
  <si>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</si>
  <si>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</si>
  <si>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</si>
  <si>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</si>
  <si>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</si>
  <si>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</si>
  <si>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</si>
  <si>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</si>
  <si>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</si>
  <si>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</si>
  <si>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</si>
  <si>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</si>
  <si>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</si>
  <si>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</si>
  <si>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</si>
  <si>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</si>
  <si>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</si>
  <si>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</si>
  <si>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</si>
  <si>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</si>
  <si>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</si>
  <si>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</si>
  <si>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</si>
  <si>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</si>
  <si>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</si>
  <si>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</si>
  <si>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</si>
  <si>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</si>
  <si>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</si>
  <si>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</si>
  <si>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</si>
  <si>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</si>
  <si>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</si>
  <si>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</si>
  <si>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</si>
  <si>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</si>
  <si>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</si>
  <si>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</si>
  <si>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</si>
  <si>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</si>
  <si>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</si>
  <si>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</si>
  <si>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</si>
  <si>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</si>
  <si>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</si>
  <si>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</si>
  <si>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</si>
  <si>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</si>
  <si>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</si>
  <si>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</si>
  <si>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</si>
  <si>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</si>
  <si>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</si>
  <si>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</si>
  <si>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</si>
  <si>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</si>
  <si>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</si>
  <si>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</si>
  <si>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</si>
  <si>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</si>
  <si>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</si>
  <si>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</si>
  <si>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</si>
  <si>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</si>
  <si>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</si>
  <si>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</si>
  <si>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</si>
  <si>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</si>
  <si>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</si>
  <si>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</si>
  <si>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</si>
  <si>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</si>
  <si>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</si>
  <si>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</si>
  <si>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</si>
  <si>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</si>
  <si>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</si>
  <si>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</si>
  <si>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</si>
  <si>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</si>
  <si>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</si>
  <si>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</si>
  <si>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</si>
  <si>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</si>
  <si>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</si>
  <si>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</si>
  <si>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</si>
  <si>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</si>
  <si>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</si>
  <si>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</si>
  <si>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</si>
  <si>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</si>
  <si>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</si>
  <si>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</si>
  <si>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</si>
  <si>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</si>
  <si>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</si>
  <si>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</si>
  <si>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</si>
  <si>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</si>
  <si>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</si>
  <si>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</si>
  <si>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</si>
  <si>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</si>
  <si>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</si>
  <si>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</si>
  <si>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</si>
  <si>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</si>
  <si>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</si>
  <si>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</si>
  <si>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</si>
  <si>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</si>
  <si>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</si>
  <si>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</si>
  <si>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</si>
  <si>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</si>
  <si>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</si>
  <si>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</si>
  <si>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</si>
  <si>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</si>
  <si>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</si>
  <si>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</si>
  <si>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</si>
  <si>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</si>
  <si>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</si>
  <si>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</si>
  <si>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</si>
  <si>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</si>
  <si>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</si>
  <si>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</si>
  <si>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</si>
  <si>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</si>
  <si>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</si>
  <si>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</si>
  <si>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</si>
  <si>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</si>
  <si>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</si>
  <si>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</si>
  <si>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</si>
  <si>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</si>
  <si>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</si>
  <si>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</si>
  <si>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</si>
  <si>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</si>
  <si>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</si>
  <si>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</si>
  <si>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</si>
  <si>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</si>
  <si>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</si>
  <si>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</si>
  <si>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</si>
  <si>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</si>
  <si>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</si>
  <si>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</si>
  <si>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</si>
  <si>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</si>
  <si>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</si>
  <si>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</si>
  <si>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</si>
  <si>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</si>
  <si>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</si>
  <si>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</si>
  <si>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</si>
  <si>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</si>
  <si>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</si>
  <si>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</si>
  <si>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</si>
  <si>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</si>
  <si>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</si>
  <si>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</si>
  <si>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</si>
  <si>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</si>
  <si>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</si>
  <si>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</si>
  <si>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</si>
  <si>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</si>
  <si>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</si>
  <si>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</si>
  <si>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</si>
  <si>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</si>
  <si>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</si>
  <si>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</si>
  <si>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</si>
  <si>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</si>
  <si>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</si>
  <si>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</si>
  <si>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</si>
  <si>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</si>
  <si>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</si>
  <si>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</si>
  <si>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</si>
  <si>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</si>
  <si>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</si>
  <si>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</si>
  <si>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</si>
  <si>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</si>
  <si>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</si>
  <si>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</si>
  <si>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</si>
  <si>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</si>
  <si>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</si>
  <si>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</si>
  <si>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</si>
  <si>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</si>
  <si>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</si>
  <si>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</si>
  <si>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</si>
  <si>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</si>
  <si>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</si>
  <si>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</si>
  <si>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</si>
  <si>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</si>
  <si>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</si>
  <si>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</si>
  <si>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</si>
  <si>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</si>
  <si>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</si>
  <si>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</si>
  <si>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</si>
  <si>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</si>
  <si>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</si>
  <si>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</si>
  <si>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</si>
  <si>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</si>
  <si>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</si>
  <si>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</si>
  <si>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</si>
  <si>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</si>
  <si>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</si>
  <si>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</si>
  <si>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</si>
  <si>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</si>
  <si>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</si>
  <si>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</si>
  <si>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</si>
  <si>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</si>
  <si>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</si>
  <si>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</si>
  <si>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</si>
  <si>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</si>
  <si>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</si>
  <si>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</si>
  <si>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</si>
  <si>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</si>
  <si>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</si>
  <si>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</si>
  <si>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</si>
  <si>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</si>
  <si>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</si>
  <si>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</si>
  <si>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</si>
  <si>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</si>
  <si>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</si>
  <si>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</si>
  <si>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</si>
  <si>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</si>
  <si>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</si>
  <si>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</si>
  <si>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</si>
  <si>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</si>
  <si>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</si>
  <si>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</si>
  <si>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</si>
  <si>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</si>
  <si>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</si>
  <si>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</si>
  <si>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</si>
  <si>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</si>
  <si>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</si>
  <si>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</si>
  <si>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</si>
  <si>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</si>
  <si>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</si>
  <si>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</si>
  <si>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</si>
  <si>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</si>
  <si>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</si>
  <si>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</si>
  <si>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</si>
  <si>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</si>
  <si>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</si>
  <si>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</si>
  <si>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</si>
  <si>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</si>
  <si>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</si>
  <si>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</si>
  <si>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</si>
  <si>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</si>
  <si>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</si>
  <si>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</si>
  <si>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</si>
  <si>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</si>
  <si>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</si>
  <si>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</si>
  <si>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</si>
  <si>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</si>
  <si>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</si>
  <si>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</si>
  <si>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</si>
  <si>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</si>
  <si>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</si>
  <si>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</si>
  <si>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</si>
  <si>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</si>
  <si>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</si>
  <si>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</si>
  <si>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</si>
  <si>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</si>
  <si>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</si>
  <si>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</si>
  <si>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</si>
  <si>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</si>
  <si>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</si>
  <si>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</si>
  <si>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</si>
  <si>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</si>
  <si>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</si>
  <si>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</si>
  <si>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</si>
  <si>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</si>
  <si>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</si>
  <si>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</si>
  <si>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</si>
  <si>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</si>
  <si>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</si>
  <si>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</si>
  <si>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</si>
  <si>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</si>
  <si>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</si>
  <si>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</si>
  <si>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</si>
  <si>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</si>
  <si>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</si>
  <si>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</si>
  <si>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</si>
  <si>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</si>
  <si>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</si>
  <si>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</si>
  <si>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</si>
  <si>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</si>
  <si>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</si>
  <si>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</si>
  <si>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</si>
  <si>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</si>
  <si>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</si>
  <si>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</si>
  <si>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</si>
  <si>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</si>
  <si>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</si>
  <si>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</si>
  <si>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</si>
  <si>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</si>
  <si>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</si>
  <si>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</si>
  <si>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</si>
  <si>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</si>
  <si>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</si>
  <si>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</si>
  <si>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</si>
  <si>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</si>
  <si>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</si>
  <si>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</si>
  <si>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</si>
  <si>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</si>
  <si>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</si>
  <si>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</si>
  <si>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</si>
  <si>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</si>
  <si>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</si>
  <si>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</si>
  <si>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</si>
  <si>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</si>
  <si>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</si>
  <si>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</si>
  <si>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</si>
  <si>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</si>
  <si>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</si>
  <si>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</si>
  <si>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</si>
  <si>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</si>
  <si>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</si>
  <si>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</si>
  <si>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</si>
  <si>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</si>
  <si>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</si>
  <si>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</si>
  <si>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</si>
  <si>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</si>
  <si>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</si>
  <si>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</si>
  <si>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</si>
  <si>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</si>
  <si>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</si>
  <si>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</si>
  <si>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</si>
  <si>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</si>
  <si>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</si>
  <si>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</si>
  <si>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</si>
  <si>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</si>
  <si>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</si>
  <si>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</si>
  <si>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</si>
  <si>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</si>
  <si>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</si>
  <si>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</si>
  <si>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</si>
  <si>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</si>
  <si>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</si>
  <si>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</si>
  <si>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</si>
  <si>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</si>
  <si>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</si>
  <si>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</si>
  <si>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</si>
  <si>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</si>
  <si>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</si>
  <si>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</si>
  <si>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</si>
  <si>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</si>
  <si>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</si>
  <si>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</si>
  <si>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</si>
  <si>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</si>
  <si>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</si>
  <si>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</si>
  <si>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</si>
  <si>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</si>
  <si>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</si>
  <si>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</si>
  <si>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</si>
  <si>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</si>
  <si>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</si>
  <si>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</si>
  <si>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</si>
  <si>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</si>
  <si>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</si>
  <si>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</si>
  <si>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</si>
  <si>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</si>
  <si>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</si>
  <si>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</si>
  <si>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</si>
  <si>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</si>
  <si>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</si>
  <si>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</si>
  <si>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</si>
  <si>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</si>
  <si>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</si>
  <si>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</si>
  <si>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</si>
  <si>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</si>
  <si>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</si>
  <si>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</si>
  <si>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</si>
  <si>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</si>
  <si>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</si>
  <si>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</si>
  <si>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</si>
  <si>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</si>
  <si>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</si>
  <si>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</si>
  <si>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</si>
  <si>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</si>
  <si>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</si>
  <si>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</si>
  <si>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</si>
  <si>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</si>
  <si>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</si>
  <si>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</si>
  <si>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</si>
  <si>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</si>
  <si>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</si>
  <si>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</si>
  <si>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</si>
  <si>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</si>
  <si>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</si>
  <si>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</si>
  <si>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</si>
  <si>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</si>
  <si>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</si>
  <si>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</si>
  <si>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</si>
  <si>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</si>
  <si>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</si>
  <si>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</si>
  <si>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</si>
  <si>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</si>
  <si>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</si>
  <si>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</si>
  <si>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</si>
  <si>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</si>
  <si>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</si>
  <si>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</si>
  <si>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</si>
  <si>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</si>
  <si>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</si>
  <si>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</si>
  <si>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</si>
  <si>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</si>
  <si>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</si>
  <si>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</si>
  <si>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</si>
  <si>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</si>
  <si>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</si>
  <si>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</si>
  <si>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</si>
  <si>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</si>
  <si>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</si>
  <si>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</si>
  <si>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</si>
  <si>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</si>
  <si>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</si>
  <si>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</si>
  <si>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</si>
  <si>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</si>
  <si>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</si>
  <si>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</si>
  <si>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</si>
  <si>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</si>
  <si>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</si>
  <si>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</si>
  <si>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</si>
  <si>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</si>
  <si>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</si>
  <si>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</si>
  <si>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</si>
  <si>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</si>
  <si>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</si>
  <si>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</si>
  <si>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</si>
  <si>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</si>
  <si>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</si>
  <si>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</si>
  <si>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</si>
  <si>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</si>
  <si>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</si>
  <si>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</si>
  <si>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</si>
  <si>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</si>
  <si>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</si>
  <si>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</si>
  <si>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</si>
  <si>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</si>
  <si>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</si>
  <si>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</si>
  <si>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</si>
  <si>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</si>
  <si>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</si>
  <si>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</si>
  <si>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</si>
  <si>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</si>
  <si>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</si>
  <si>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</si>
  <si>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</si>
  <si>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</si>
  <si>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</si>
  <si>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</si>
  <si>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</si>
  <si>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</si>
  <si>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</si>
  <si>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</si>
  <si>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</si>
  <si>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</si>
  <si>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</si>
  <si>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</si>
  <si>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</si>
  <si>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</si>
  <si>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</si>
  <si>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</si>
  <si>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</si>
  <si>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</si>
  <si>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</si>
  <si>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</si>
  <si>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</si>
  <si>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</si>
  <si>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</si>
  <si>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</si>
  <si>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</si>
  <si>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</si>
  <si>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</si>
  <si>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</si>
  <si>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</si>
  <si>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</si>
  <si>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</si>
  <si>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</si>
  <si>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</si>
  <si>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</si>
  <si>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</si>
  <si>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</si>
  <si>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</si>
  <si>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</si>
  <si>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</si>
  <si>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</si>
  <si>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</si>
  <si>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</si>
  <si>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</si>
  <si>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</si>
  <si>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</si>
  <si>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</si>
  <si>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</si>
  <si>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</si>
  <si>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</si>
  <si>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</si>
  <si>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</si>
  <si>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</si>
  <si>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</si>
  <si>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</si>
  <si>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</si>
  <si>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</si>
  <si>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</si>
  <si>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</si>
  <si>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</si>
  <si>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</si>
  <si>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</si>
  <si>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</si>
  <si>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</si>
  <si>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</si>
  <si>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</si>
  <si>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</si>
  <si>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</si>
  <si>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</si>
  <si>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</si>
  <si>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</si>
  <si>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</si>
  <si>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</si>
  <si>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</si>
  <si>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</si>
  <si>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</si>
  <si>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</si>
  <si>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</si>
  <si>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</si>
  <si>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</si>
  <si>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</si>
  <si>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</si>
  <si>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</si>
  <si>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</si>
  <si>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</si>
  <si>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</si>
  <si>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</si>
  <si>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</si>
  <si>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</si>
  <si>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</si>
  <si>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</si>
  <si>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</si>
  <si>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</si>
  <si>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</si>
  <si>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</si>
  <si>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</si>
  <si>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</si>
  <si>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</si>
  <si>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</si>
  <si>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</si>
  <si>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</si>
  <si>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</si>
  <si>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</si>
  <si>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</si>
  <si>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</si>
  <si>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</si>
  <si>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</si>
  <si>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</si>
  <si>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</si>
  <si>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</si>
  <si>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</si>
  <si>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</si>
  <si>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</si>
  <si>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</si>
  <si>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</si>
  <si>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</si>
  <si>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</si>
  <si>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</si>
  <si>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</si>
  <si>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</si>
  <si>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</si>
  <si>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</si>
  <si>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</si>
  <si>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</si>
  <si>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</si>
  <si>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</si>
  <si>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</si>
  <si>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</si>
  <si>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</si>
  <si>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</si>
  <si>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</si>
  <si>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</si>
  <si>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</si>
  <si>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</si>
  <si>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</si>
  <si>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</si>
  <si>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</si>
  <si>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</si>
  <si>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</si>
  <si>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</si>
  <si>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</si>
  <si>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</si>
  <si>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</si>
  <si>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</si>
  <si>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</si>
  <si>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</si>
  <si>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</si>
  <si>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</si>
  <si>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</si>
  <si>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</si>
  <si>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</si>
  <si>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</si>
  <si>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</si>
  <si>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</si>
  <si>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</si>
  <si>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</si>
  <si>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</si>
  <si>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</si>
  <si>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</si>
  <si>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</si>
  <si>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</si>
  <si>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</si>
  <si>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</si>
  <si>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</si>
  <si>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</si>
  <si>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</si>
  <si>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</si>
  <si>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</si>
  <si>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</si>
  <si>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</si>
  <si>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</si>
  <si>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</si>
  <si>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</si>
  <si>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</si>
  <si>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</si>
  <si>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</si>
  <si>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</si>
  <si>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</si>
  <si>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</si>
  <si>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</si>
  <si>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</si>
  <si>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</si>
  <si>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</si>
  <si>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</si>
  <si>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</si>
  <si>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</si>
  <si>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</si>
  <si>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</si>
  <si>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</si>
  <si>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</si>
  <si>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</si>
  <si>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</si>
  <si>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</si>
  <si>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</si>
  <si>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</si>
  <si>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</si>
  <si>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</si>
  <si>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</si>
  <si>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</si>
  <si>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</si>
  <si>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</si>
  <si>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</si>
  <si>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</si>
  <si>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</si>
  <si>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</si>
  <si>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</si>
  <si>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</si>
  <si>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</si>
  <si>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</si>
  <si>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</si>
  <si>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</si>
  <si>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</si>
  <si>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</si>
  <si>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</si>
  <si>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</si>
  <si>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</si>
  <si>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</si>
  <si>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</si>
  <si>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</si>
  <si>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</si>
  <si>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</si>
  <si>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</si>
  <si>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</si>
  <si>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</si>
  <si>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</si>
  <si>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</si>
  <si>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</si>
  <si>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</si>
  <si>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</si>
  <si>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</si>
  <si>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</si>
  <si>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</si>
  <si>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</si>
  <si>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</si>
  <si>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</si>
  <si>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</si>
  <si>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</si>
  <si>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</si>
  <si>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</si>
  <si>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</si>
  <si>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</si>
  <si>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</si>
  <si>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</si>
  <si>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</si>
  <si>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</si>
  <si>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</si>
  <si>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</si>
  <si>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</si>
  <si>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</si>
  <si>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</si>
  <si>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</si>
  <si>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</si>
  <si>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</si>
  <si>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</si>
  <si>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</si>
  <si>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</si>
  <si>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</si>
  <si>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</si>
  <si>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</si>
  <si>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</si>
  <si>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</si>
  <si>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</si>
  <si>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</si>
  <si>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</si>
  <si>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</si>
  <si>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</si>
  <si>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</si>
  <si>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</si>
  <si>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</si>
  <si>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</si>
  <si>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</si>
  <si>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</si>
  <si>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</si>
  <si>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</si>
  <si>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</si>
  <si>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</si>
  <si>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</si>
  <si>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</si>
  <si>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</si>
  <si>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</si>
  <si>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</si>
  <si>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</si>
  <si>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</si>
  <si>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</si>
  <si>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</si>
  <si>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</si>
  <si>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</si>
  <si>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</si>
  <si>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</si>
  <si>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</si>
  <si>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</si>
  <si>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</si>
  <si>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</si>
  <si>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</si>
  <si>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</si>
  <si>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</si>
  <si>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</si>
  <si>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</si>
  <si>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</si>
  <si>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</si>
  <si>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</si>
  <si>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</si>
  <si>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</si>
  <si>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</si>
  <si>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</si>
  <si>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</si>
  <si>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</si>
  <si>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</si>
  <si>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</si>
  <si>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</si>
  <si>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</si>
  <si>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</si>
  <si>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</si>
  <si>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</si>
  <si>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</si>
  <si>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</si>
  <si>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</si>
  <si>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</si>
  <si>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</si>
  <si>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</si>
  <si>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</si>
  <si>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</si>
  <si>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</si>
  <si>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</si>
  <si>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</si>
  <si>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</si>
  <si>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</si>
  <si>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</si>
  <si>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</si>
  <si>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</si>
  <si>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</si>
  <si>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</si>
  <si>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</si>
  <si>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</si>
  <si>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</si>
  <si>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</si>
  <si>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</si>
  <si>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</si>
  <si>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</si>
  <si>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</si>
  <si>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</si>
  <si>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</si>
  <si>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</si>
  <si>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</si>
  <si>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</si>
  <si>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</si>
  <si>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</si>
  <si>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</si>
  <si>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</si>
  <si>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</si>
  <si>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</si>
  <si>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</si>
  <si>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</si>
  <si>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</si>
  <si>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</si>
  <si>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</si>
  <si>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</si>
  <si>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</si>
  <si>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</si>
  <si>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</si>
  <si>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</si>
  <si>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</si>
  <si>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</si>
  <si>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</si>
  <si>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</si>
  <si>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</si>
  <si>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</si>
  <si>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</si>
  <si>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</si>
  <si>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</si>
  <si>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</si>
  <si>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</si>
  <si>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</si>
  <si>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</si>
  <si>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</si>
  <si>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</si>
  <si>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</si>
  <si>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</si>
  <si>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</si>
  <si>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</si>
  <si>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</si>
  <si>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</si>
  <si>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</si>
  <si>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</si>
  <si>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</si>
  <si>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</si>
  <si>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</si>
  <si>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</si>
  <si>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</si>
  <si>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</si>
  <si>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</si>
  <si>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</si>
  <si>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</si>
  <si>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</si>
  <si>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</si>
  <si>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</si>
  <si>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</si>
  <si>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</si>
  <si>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</si>
  <si>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</si>
  <si>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</si>
  <si>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</si>
  <si>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</si>
  <si>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</si>
  <si>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</si>
  <si>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</si>
  <si>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</si>
  <si>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</si>
  <si>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</si>
  <si>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</si>
  <si>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</si>
  <si>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</si>
  <si>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</si>
  <si>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</si>
  <si>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</si>
  <si>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</si>
  <si>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</si>
  <si>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</si>
  <si>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</si>
  <si>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</si>
  <si>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</si>
  <si>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</si>
  <si>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</si>
  <si>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</si>
  <si>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</si>
  <si>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</si>
  <si>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</si>
  <si>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</si>
  <si>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</si>
  <si>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</si>
  <si>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</si>
  <si>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</si>
  <si>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</si>
  <si>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</si>
  <si>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</si>
  <si>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</si>
  <si>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</si>
  <si>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</si>
  <si>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</si>
  <si>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</si>
  <si>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</si>
  <si>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</si>
  <si>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</si>
  <si>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</si>
  <si>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</si>
  <si>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</si>
  <si>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</si>
  <si>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</si>
  <si>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</si>
  <si>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</si>
  <si>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</si>
  <si>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</si>
  <si>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</si>
  <si>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</si>
  <si>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</si>
  <si>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</si>
  <si>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</si>
  <si>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</si>
  <si>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</si>
  <si>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</si>
  <si>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</si>
  <si>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</si>
  <si>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</si>
  <si>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</si>
  <si>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</si>
  <si>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</si>
  <si>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</si>
  <si>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</si>
  <si>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</si>
  <si>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</si>
  <si>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</si>
  <si>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</si>
  <si>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</si>
  <si>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</si>
  <si>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</si>
  <si>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</si>
  <si>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</si>
  <si>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</si>
  <si>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</si>
  <si>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</si>
  <si>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</si>
  <si>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</si>
  <si>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</si>
  <si>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</si>
  <si>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</si>
  <si>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</si>
  <si>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</si>
  <si>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</si>
  <si>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</si>
  <si>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</si>
  <si>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</si>
  <si>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</si>
  <si>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</si>
  <si>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</si>
  <si>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</si>
  <si>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</si>
  <si>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</si>
  <si>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</si>
  <si>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</si>
  <si>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</si>
  <si>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</si>
  <si>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</si>
  <si>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</si>
  <si>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</si>
  <si>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</si>
  <si>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</si>
  <si>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</si>
  <si>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</si>
  <si>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</si>
  <si>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</si>
  <si>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</si>
  <si>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</si>
  <si>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</si>
  <si>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</si>
  <si>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</si>
  <si>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</si>
  <si>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</si>
  <si>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</si>
  <si>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</si>
  <si>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</si>
  <si>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</si>
  <si>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</si>
  <si>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</si>
  <si>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</si>
  <si>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</si>
  <si>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</si>
  <si>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</si>
  <si>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</si>
  <si>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</si>
  <si>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</si>
  <si>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</si>
  <si>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</si>
  <si>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</si>
  <si>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</si>
  <si>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</si>
  <si>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</si>
  <si>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</si>
  <si>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</si>
  <si>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</si>
  <si>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</si>
  <si>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</si>
  <si>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</si>
  <si>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</si>
  <si>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</si>
  <si>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</si>
  <si>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</si>
  <si>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</si>
  <si>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</si>
  <si>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</si>
  <si>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</si>
  <si>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</si>
  <si>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</si>
  <si>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</si>
  <si>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</si>
  <si>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</si>
  <si>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</si>
  <si>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</si>
  <si>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</si>
  <si>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</si>
  <si>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</si>
  <si>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</si>
  <si>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</si>
  <si>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</si>
  <si>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</si>
  <si>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</si>
  <si>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</si>
  <si>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</si>
  <si>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</si>
  <si>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</si>
  <si>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</si>
  <si>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</si>
  <si>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</si>
  <si>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</si>
  <si>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</si>
  <si>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</si>
  <si>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</si>
  <si>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</si>
  <si>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</si>
  <si>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</si>
  <si>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</si>
  <si>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</si>
  <si>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</si>
  <si>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</si>
  <si>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</si>
  <si>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</si>
  <si>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</si>
  <si>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</si>
  <si>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</si>
  <si>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</si>
  <si>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</si>
  <si>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</si>
  <si>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</si>
  <si>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</si>
  <si>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</si>
  <si>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</si>
  <si>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</si>
  <si>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</si>
  <si>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</si>
  <si>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</si>
  <si>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</si>
  <si>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</si>
  <si>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</si>
  <si>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</si>
  <si>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</si>
  <si>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</si>
  <si>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</si>
  <si>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</si>
  <si>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</si>
  <si>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</si>
  <si>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</si>
  <si>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</si>
  <si>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</si>
  <si>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</si>
  <si>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</si>
  <si>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</si>
  <si>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</si>
  <si>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</si>
  <si>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</si>
  <si>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</si>
  <si>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</si>
  <si>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</si>
  <si>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</si>
  <si>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</si>
  <si>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</si>
  <si>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</si>
  <si>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</si>
  <si>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</si>
  <si>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</si>
  <si>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</si>
  <si>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</si>
  <si>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</si>
  <si>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</si>
  <si>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</si>
  <si>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</si>
  <si>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</si>
  <si>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</si>
  <si>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</si>
  <si>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</si>
  <si>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</si>
  <si>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</si>
  <si>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</si>
  <si>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</si>
  <si>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</si>
  <si>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</si>
  <si>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</si>
  <si>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</si>
  <si>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</si>
  <si>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</si>
  <si>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</si>
  <si>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</si>
  <si>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</si>
  <si>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</si>
  <si>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</si>
  <si>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</si>
  <si>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</si>
  <si>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</si>
  <si>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</si>
  <si>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</si>
  <si>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</si>
  <si>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</si>
  <si>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</si>
  <si>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</si>
  <si>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</si>
  <si>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</si>
  <si>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</si>
  <si>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</si>
  <si>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</si>
  <si>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</si>
  <si>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</si>
  <si>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</si>
  <si>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</si>
  <si>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</si>
  <si>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</si>
  <si>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</si>
  <si>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</si>
  <si>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</si>
  <si>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</si>
  <si>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</si>
  <si>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</si>
  <si>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</si>
  <si>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</si>
  <si>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</si>
  <si>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</si>
  <si>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</si>
  <si>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</si>
  <si>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</si>
  <si>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</si>
  <si>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</si>
  <si>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</si>
  <si>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</si>
  <si>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</si>
  <si>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</si>
  <si>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</si>
  <si>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</si>
  <si>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</si>
  <si>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</si>
  <si>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</si>
  <si>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</si>
  <si>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</si>
  <si>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</si>
  <si>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</si>
  <si>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</si>
  <si>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</si>
  <si>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</si>
  <si>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</si>
  <si>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</si>
  <si>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</si>
  <si>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</si>
  <si>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</si>
  <si>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</si>
  <si>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</si>
  <si>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</si>
  <si>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</si>
  <si>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</si>
  <si>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</si>
  <si>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</si>
  <si>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</si>
  <si>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</si>
  <si>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</si>
  <si>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</si>
  <si>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</si>
  <si>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</si>
  <si>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</si>
  <si>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</si>
  <si>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</si>
  <si>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</si>
  <si>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</si>
  <si>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</si>
  <si>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</si>
  <si>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</si>
  <si>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</si>
  <si>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</si>
  <si>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</si>
  <si>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</si>
  <si>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</si>
  <si>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</si>
  <si>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</si>
  <si>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</si>
  <si>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</si>
  <si>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</si>
  <si>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</si>
  <si>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</si>
  <si>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</si>
  <si>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</si>
  <si>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</si>
  <si>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</si>
  <si>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</si>
  <si>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</si>
  <si>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</si>
  <si>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</si>
  <si>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</si>
  <si>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</si>
  <si>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</si>
  <si>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</si>
  <si>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</si>
  <si>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</si>
  <si>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</si>
  <si>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</si>
  <si>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</si>
  <si>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</si>
  <si>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</si>
  <si>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</si>
  <si>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</si>
  <si>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</si>
  <si>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</si>
  <si>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</si>
  <si>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</si>
  <si>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</si>
  <si>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</si>
  <si>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</si>
  <si>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</si>
  <si>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</si>
  <si>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</si>
  <si>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</si>
  <si>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</si>
  <si>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</si>
  <si>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</si>
  <si>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</si>
  <si>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</si>
  <si>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</si>
  <si>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</si>
  <si>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</si>
  <si>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</si>
  <si>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</si>
  <si>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</si>
  <si>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</si>
  <si>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</si>
  <si>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</si>
  <si>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</si>
  <si>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</si>
  <si>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</si>
  <si>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</si>
  <si>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</si>
  <si>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</si>
  <si>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</si>
  <si>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</si>
  <si>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</si>
  <si>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</si>
  <si>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</si>
  <si>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</si>
  <si>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</si>
  <si>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</si>
  <si>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</si>
  <si>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</si>
  <si>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</si>
  <si>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</si>
  <si>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</si>
  <si>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</si>
  <si>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</si>
  <si>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</si>
  <si>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</si>
  <si>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</si>
  <si>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</si>
  <si>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</si>
  <si>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</si>
  <si>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</si>
  <si>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</si>
  <si>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</si>
  <si>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</si>
  <si>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</si>
  <si>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</si>
  <si>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</si>
  <si>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</si>
  <si>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</si>
  <si>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</si>
  <si>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</si>
  <si>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</si>
  <si>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</si>
  <si>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</si>
  <si>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</si>
  <si>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</si>
  <si>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</si>
  <si>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</si>
  <si>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</si>
  <si>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</si>
  <si>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</si>
  <si>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</si>
  <si>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</si>
  <si>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</si>
  <si>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</si>
  <si>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</si>
  <si>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</si>
  <si>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</si>
  <si>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</si>
  <si>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</si>
  <si>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</si>
  <si>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</si>
  <si>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</si>
  <si>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</si>
  <si>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</si>
  <si>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</si>
  <si>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</si>
  <si>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</si>
  <si>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</si>
  <si>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</si>
  <si>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</si>
  <si>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</si>
  <si>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</si>
  <si>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</si>
  <si>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</si>
  <si>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</si>
  <si>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</si>
  <si>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</si>
  <si>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</si>
  <si>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</si>
  <si>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</si>
  <si>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</si>
  <si>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</si>
  <si>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</si>
  <si>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</si>
  <si>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</si>
  <si>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</si>
  <si>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</si>
  <si>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</si>
  <si>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</si>
  <si>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</si>
  <si>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</si>
  <si>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</si>
  <si>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</si>
  <si>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</si>
  <si>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</si>
  <si>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</si>
  <si>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</si>
  <si>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</si>
  <si>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</si>
  <si>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</si>
  <si>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</si>
  <si>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</si>
  <si>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</si>
  <si>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</si>
  <si>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</si>
  <si>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</si>
  <si>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</si>
  <si>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</si>
  <si>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</si>
  <si>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</si>
  <si>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</si>
  <si>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</si>
  <si>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</si>
  <si>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</si>
  <si>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</si>
  <si>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</si>
  <si>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</si>
  <si>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</si>
  <si>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</si>
  <si>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</si>
  <si>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</si>
  <si>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</si>
  <si>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</si>
  <si>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</si>
  <si>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</si>
  <si>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</si>
  <si>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</si>
  <si>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</si>
  <si>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</si>
  <si>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</si>
  <si>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</si>
  <si>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</si>
  <si>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</si>
  <si>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</si>
  <si>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</si>
  <si>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</si>
  <si>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</si>
  <si>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</si>
  <si>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</si>
  <si>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</si>
  <si>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</si>
  <si>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</si>
  <si>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</si>
  <si>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</si>
  <si>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</si>
  <si>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</si>
  <si>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</si>
  <si>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</si>
  <si>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</si>
  <si>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</si>
  <si>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</si>
  <si>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</si>
  <si>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</si>
  <si>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</si>
  <si>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</si>
  <si>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</si>
  <si>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</si>
  <si>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</si>
  <si>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</si>
  <si>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</si>
  <si>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</si>
  <si>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</si>
  <si>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</si>
  <si>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</si>
  <si>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</si>
  <si>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</si>
  <si>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</si>
  <si>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</si>
  <si>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</si>
  <si>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</si>
  <si>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</si>
  <si>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</si>
  <si>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</si>
  <si>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</si>
  <si>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</si>
  <si>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</si>
  <si>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</si>
  <si>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</si>
  <si>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</si>
  <si>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</si>
  <si>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</si>
  <si>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</si>
  <si>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</si>
  <si>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</si>
  <si>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</si>
  <si>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</si>
  <si>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</si>
  <si>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</si>
  <si>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</si>
  <si>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</si>
  <si>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</si>
  <si>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</si>
  <si>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</si>
  <si>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</si>
  <si>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</si>
  <si>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</si>
  <si>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</si>
  <si>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</si>
  <si>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</si>
  <si>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</si>
  <si>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</si>
  <si>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</si>
  <si>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</si>
  <si>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</si>
  <si>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</si>
  <si>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</si>
  <si>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</si>
  <si>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</si>
  <si>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</si>
  <si>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</si>
  <si>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</si>
  <si>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</si>
  <si>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</si>
  <si>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</si>
  <si>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</si>
  <si>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</si>
  <si>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</si>
  <si>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</si>
  <si>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</si>
  <si>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</si>
  <si>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</si>
  <si>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</si>
  <si>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</si>
  <si>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</si>
  <si>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</si>
  <si>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</si>
  <si>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</si>
  <si>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</si>
  <si>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</si>
  <si>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</si>
  <si>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</si>
  <si>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</si>
  <si>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</si>
  <si>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</si>
  <si>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</si>
  <si>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</si>
  <si>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</si>
  <si>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</si>
  <si>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</si>
  <si>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</si>
  <si>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</si>
  <si>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</si>
  <si>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</si>
  <si>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</si>
  <si>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</si>
  <si>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</si>
  <si>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</si>
  <si>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</si>
  <si>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</si>
  <si>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</si>
  <si>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</si>
  <si>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</si>
  <si>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</si>
  <si>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</si>
  <si>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</si>
  <si>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</si>
  <si>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</si>
  <si>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</si>
  <si>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</si>
  <si>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</si>
  <si>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</si>
  <si>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</si>
  <si>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</si>
  <si>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</si>
  <si>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</si>
  <si>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</si>
  <si>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</si>
  <si>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</si>
  <si>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</si>
  <si>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</si>
  <si>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</si>
  <si>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</si>
  <si>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</si>
  <si>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</si>
  <si>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</si>
  <si>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</si>
  <si>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</si>
  <si>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</si>
  <si>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</si>
  <si>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</si>
  <si>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</si>
  <si>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</si>
  <si>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</si>
  <si>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</si>
  <si>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</si>
  <si>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</si>
  <si>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</si>
  <si>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</si>
  <si>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</si>
  <si>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</si>
  <si>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</si>
  <si>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</si>
  <si>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</si>
  <si>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</si>
  <si>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</si>
  <si>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</si>
  <si>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</si>
  <si>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</si>
  <si>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</si>
  <si>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</si>
  <si>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</si>
  <si>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</si>
  <si>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</si>
  <si>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</si>
  <si>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</si>
  <si>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</si>
  <si>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</si>
  <si>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</si>
  <si>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</si>
  <si>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</si>
  <si>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</si>
  <si>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</si>
  <si>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</si>
  <si>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</si>
  <si>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</si>
  <si>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</si>
  <si>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</si>
  <si>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</si>
  <si>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</si>
  <si>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</si>
  <si>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</si>
  <si>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</si>
  <si>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</si>
  <si>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</si>
  <si>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</si>
  <si>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</si>
  <si>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</si>
  <si>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</si>
  <si>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</si>
  <si>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</si>
  <si>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</si>
  <si>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</si>
  <si>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</si>
  <si>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</si>
  <si>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</si>
  <si>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</si>
  <si>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</si>
  <si>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</si>
  <si>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</si>
  <si>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</si>
  <si>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</si>
  <si>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</si>
  <si>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</si>
  <si>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</si>
  <si>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</si>
  <si>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</si>
  <si>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</si>
  <si>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</si>
  <si>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</si>
  <si>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</si>
  <si>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</si>
  <si>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</si>
  <si>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</si>
  <si>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</si>
  <si>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</si>
  <si>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</si>
  <si>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</si>
  <si>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</si>
  <si>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</si>
  <si>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</si>
  <si>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</si>
  <si>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</si>
  <si>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</si>
  <si>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</si>
  <si>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</si>
  <si>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</si>
  <si>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</si>
  <si>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</si>
  <si>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</si>
  <si>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</si>
  <si>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</si>
  <si>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</si>
  <si>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</si>
  <si>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</si>
  <si>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</si>
  <si>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</si>
  <si>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</si>
  <si>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</si>
  <si>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</si>
  <si>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</si>
  <si>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</si>
  <si>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</si>
  <si>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</si>
  <si>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</si>
  <si>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</si>
  <si>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</si>
  <si>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</si>
  <si>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</si>
  <si>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</si>
  <si>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</si>
  <si>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</si>
  <si>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</si>
  <si>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</si>
  <si>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</si>
  <si>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</si>
  <si>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</si>
  <si>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</si>
  <si>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</si>
  <si>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</si>
  <si>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</si>
  <si>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</si>
  <si>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</si>
  <si>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</si>
  <si>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</si>
  <si>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</si>
  <si>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</si>
  <si>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</si>
  <si>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</si>
  <si>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</si>
  <si>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</si>
  <si>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</si>
  <si>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</si>
  <si>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</si>
  <si>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</si>
  <si>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</si>
  <si>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</si>
  <si>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</si>
  <si>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</si>
  <si>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</si>
  <si>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</si>
  <si>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</si>
  <si>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</si>
  <si>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</si>
  <si>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</si>
  <si>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</si>
  <si>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</si>
  <si>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</si>
  <si>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</si>
  <si>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</si>
  <si>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</si>
  <si>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</si>
  <si>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</si>
  <si>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</si>
  <si>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</si>
  <si>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</si>
  <si>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</si>
  <si>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</si>
  <si>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</si>
  <si>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</si>
  <si>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</si>
  <si>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</si>
  <si>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</si>
  <si>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</si>
  <si>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</si>
  <si>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</si>
  <si>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</si>
  <si>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</si>
  <si>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</si>
  <si>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</si>
  <si>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</si>
  <si>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</si>
  <si>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</si>
  <si>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</si>
  <si>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</si>
  <si>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</si>
  <si>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</si>
  <si>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</si>
  <si>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</si>
  <si>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</si>
  <si>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</si>
  <si>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</si>
  <si>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</si>
  <si>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</si>
  <si>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</si>
  <si>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</si>
  <si>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</si>
  <si>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</si>
  <si>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</si>
  <si>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</si>
  <si>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</si>
  <si>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</si>
  <si>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</si>
  <si>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</si>
  <si>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</si>
  <si>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</si>
  <si>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</si>
  <si>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</si>
  <si>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</si>
  <si>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</si>
  <si>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</si>
  <si>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</si>
  <si>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</si>
  <si>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</si>
  <si>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</si>
  <si>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</si>
  <si>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</si>
  <si>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</si>
  <si>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</si>
  <si>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</si>
  <si>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</si>
  <si>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</si>
  <si>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</si>
  <si>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</si>
  <si>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</si>
  <si>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</si>
  <si>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</si>
  <si>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</si>
  <si>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</si>
  <si>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</si>
  <si>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</si>
  <si>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</si>
  <si>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</si>
  <si>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</si>
  <si>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</si>
  <si>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</si>
  <si>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</si>
  <si>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</si>
  <si>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</si>
  <si>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</si>
  <si>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</si>
  <si>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</si>
  <si>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</si>
  <si>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</si>
  <si>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</si>
  <si>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</si>
  <si>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</si>
  <si>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</si>
  <si>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</si>
  <si>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</si>
  <si>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</si>
  <si>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</si>
  <si>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</si>
  <si>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</si>
  <si>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</si>
  <si>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</si>
  <si>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</si>
  <si>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</si>
  <si>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</si>
  <si>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</si>
  <si>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</si>
  <si>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</si>
  <si>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</si>
  <si>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</si>
  <si>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</si>
  <si>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</si>
  <si>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</si>
  <si>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</si>
  <si>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</si>
  <si>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</si>
  <si>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</si>
  <si>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</si>
  <si>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</si>
  <si>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</si>
  <si>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</si>
  <si>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</si>
  <si>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</si>
  <si>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</si>
  <si>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</si>
  <si>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</si>
  <si>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</si>
  <si>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</si>
  <si>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</si>
  <si>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</si>
  <si>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</si>
  <si>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</si>
  <si>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</si>
  <si>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</si>
  <si>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</si>
  <si>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</si>
  <si>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</si>
  <si>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</si>
  <si>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</si>
  <si>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</si>
  <si>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</si>
  <si>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</si>
  <si>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</si>
  <si>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</si>
  <si>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</si>
  <si>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</si>
  <si>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</si>
  <si>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</si>
  <si>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</si>
  <si>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</si>
  <si>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</si>
  <si>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</si>
  <si>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</si>
  <si>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</si>
  <si>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</si>
  <si>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</si>
  <si>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</si>
  <si>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</si>
  <si>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</si>
  <si>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</si>
  <si>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</si>
  <si>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</si>
  <si>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</si>
  <si>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</si>
  <si>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</si>
  <si>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</si>
  <si>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</si>
  <si>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</si>
  <si>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</si>
  <si>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</si>
  <si>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</si>
  <si>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</si>
  <si>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</si>
  <si>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</si>
  <si>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</si>
  <si>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</si>
  <si>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</si>
  <si>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</si>
  <si>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</si>
  <si>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</si>
  <si>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</si>
  <si>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</si>
  <si>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</si>
  <si>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</si>
  <si>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</si>
  <si>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</si>
  <si>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</si>
  <si>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</si>
  <si>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</si>
  <si>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</si>
  <si>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</si>
  <si>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</si>
  <si>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</si>
  <si>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</si>
  <si>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</si>
  <si>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</si>
  <si>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</si>
  <si>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</si>
  <si>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</si>
  <si>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</si>
  <si>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</si>
  <si>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</si>
  <si>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</si>
  <si>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</si>
  <si>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</si>
  <si>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</si>
  <si>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</si>
  <si>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</si>
  <si>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</si>
  <si>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</si>
  <si>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</si>
  <si>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</si>
  <si>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</si>
  <si>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</si>
  <si>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</si>
  <si>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</si>
  <si>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</si>
  <si>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</si>
  <si>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</si>
  <si>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</si>
  <si>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</si>
  <si>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</si>
  <si>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</si>
  <si>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</si>
  <si>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</si>
  <si>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</si>
  <si>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</si>
  <si>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</si>
  <si>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</si>
  <si>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</si>
  <si>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</si>
  <si>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</si>
  <si>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</si>
  <si>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</si>
  <si>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</si>
  <si>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</si>
  <si>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</si>
  <si>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</si>
  <si>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</si>
  <si>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</si>
  <si>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</si>
  <si>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</si>
  <si>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</si>
  <si>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</si>
  <si>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</si>
  <si>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</si>
  <si>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</si>
  <si>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</si>
  <si>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</si>
  <si>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</si>
  <si>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</si>
  <si>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</si>
  <si>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</si>
  <si>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</si>
  <si>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</si>
  <si>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</si>
  <si>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</si>
  <si>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</si>
  <si>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</si>
  <si>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</si>
  <si>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</si>
  <si>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</si>
  <si>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</si>
  <si>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</si>
  <si>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</si>
  <si>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</si>
  <si>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</si>
  <si>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</si>
  <si>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</si>
  <si>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</si>
  <si>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</si>
  <si>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</si>
  <si>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</si>
  <si>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</si>
  <si>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</si>
  <si>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</si>
  <si>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</si>
  <si>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</si>
  <si>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</si>
  <si>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</si>
  <si>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</si>
  <si>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</si>
  <si>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</si>
  <si>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</si>
  <si>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</si>
  <si>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</si>
  <si>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</si>
  <si>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</si>
  <si>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</si>
  <si>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</si>
  <si>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</si>
  <si>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</si>
  <si>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</si>
  <si>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</si>
  <si>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</si>
  <si>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</si>
  <si>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</si>
  <si>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</si>
  <si>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</si>
  <si>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</si>
  <si>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</si>
  <si>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</si>
  <si>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</si>
  <si>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</si>
  <si>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</si>
  <si>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</si>
  <si>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</si>
  <si>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</si>
  <si>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</si>
  <si>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</si>
  <si>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</si>
  <si>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</si>
  <si>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</si>
  <si>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</si>
  <si>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</si>
  <si>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</si>
  <si>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</si>
  <si>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</si>
  <si>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</si>
  <si>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</si>
  <si>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</si>
  <si>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</si>
  <si>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</si>
  <si>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</si>
  <si>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</si>
  <si>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</si>
  <si>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</si>
  <si>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</si>
  <si>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</si>
  <si>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</si>
  <si>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</si>
  <si>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</si>
  <si>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</si>
  <si>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</si>
  <si>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</si>
  <si>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</si>
  <si>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</si>
  <si>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</si>
  <si>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</si>
  <si>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</si>
  <si>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</si>
  <si>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</si>
  <si>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</si>
  <si>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</si>
  <si>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</si>
  <si>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</si>
  <si>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</si>
  <si>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</si>
  <si>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</si>
  <si>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</si>
  <si>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</si>
  <si>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</si>
  <si>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</si>
  <si>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</si>
  <si>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</si>
  <si>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</si>
  <si>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</si>
  <si>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</si>
  <si>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</si>
  <si>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</si>
  <si>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</si>
  <si>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</si>
  <si>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</si>
  <si>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</si>
  <si>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</si>
  <si>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</si>
  <si>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</si>
  <si>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</si>
  <si>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</si>
  <si>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</si>
  <si>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</si>
  <si>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</si>
  <si>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</si>
  <si>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</si>
  <si>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</si>
  <si>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</si>
  <si>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</si>
  <si>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</si>
  <si>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</si>
  <si>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</si>
  <si>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</si>
  <si>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</si>
  <si>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</si>
  <si>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</si>
  <si>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</si>
  <si>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</si>
  <si>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</si>
  <si>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</si>
  <si>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</si>
  <si>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</si>
  <si>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</si>
  <si>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</si>
  <si>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</si>
  <si>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</si>
  <si>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</si>
  <si>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</si>
  <si>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</si>
  <si>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</si>
  <si>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</si>
  <si>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</si>
  <si>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</si>
  <si>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</si>
  <si>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</si>
  <si>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</si>
  <si>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</si>
  <si>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</si>
  <si>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</si>
  <si>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</si>
  <si>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</si>
  <si>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</si>
  <si>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</si>
  <si>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</si>
  <si>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</si>
  <si>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</si>
  <si>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</si>
  <si>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</si>
  <si>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</si>
  <si>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</si>
  <si>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</si>
  <si>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</si>
  <si>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</si>
  <si>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</si>
  <si>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</si>
  <si>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</si>
  <si>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</si>
  <si>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</si>
  <si>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</si>
  <si>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</si>
  <si>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</si>
  <si>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</si>
  <si>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</si>
  <si>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</si>
  <si>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</si>
  <si>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</si>
  <si>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</si>
  <si>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</si>
  <si>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</si>
  <si>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</si>
  <si>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</si>
  <si>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</si>
  <si>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</si>
  <si>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</si>
  <si>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</si>
  <si>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</si>
  <si>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</si>
  <si>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</si>
  <si>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</si>
  <si>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</si>
  <si>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</si>
  <si>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</si>
  <si>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</si>
  <si>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</si>
  <si>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</si>
  <si>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</si>
  <si>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</si>
  <si>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</si>
  <si>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</si>
  <si>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</si>
  <si>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</si>
  <si>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</si>
  <si>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</si>
  <si>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</si>
  <si>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</si>
  <si>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</si>
  <si>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</si>
  <si>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</si>
  <si>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</si>
  <si>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</si>
  <si>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</si>
  <si>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</si>
  <si>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</si>
  <si>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</si>
  <si>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</si>
  <si>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</si>
  <si>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</si>
  <si>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</si>
  <si>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</si>
  <si>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</si>
  <si>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</si>
  <si>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</si>
  <si>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</si>
  <si>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</si>
  <si>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</si>
  <si>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</si>
  <si>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</si>
  <si>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</si>
  <si>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</si>
  <si>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</si>
  <si>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</si>
  <si>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</si>
  <si>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</si>
  <si>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</si>
  <si>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</si>
  <si>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</si>
  <si>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</si>
  <si>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</si>
  <si>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</si>
  <si>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</si>
  <si>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</si>
  <si>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</si>
  <si>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</si>
  <si>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</si>
  <si>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</si>
  <si>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</si>
  <si>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</si>
  <si>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</si>
  <si>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</si>
  <si>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</si>
  <si>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</si>
  <si>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</si>
  <si>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</si>
  <si>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</si>
  <si>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</si>
  <si>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</si>
  <si>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</si>
  <si>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</si>
  <si>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</si>
  <si>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</si>
  <si>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</si>
  <si>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</si>
  <si>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</si>
  <si>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</si>
  <si>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</si>
  <si>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</si>
  <si>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</si>
  <si>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</si>
  <si>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</si>
  <si>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</si>
  <si>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</si>
  <si>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</si>
  <si>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</si>
  <si>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</si>
  <si>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</si>
  <si>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</si>
  <si>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</si>
  <si>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</si>
  <si>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</si>
  <si>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</si>
  <si>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</si>
  <si>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</si>
  <si>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</si>
  <si>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</si>
  <si>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</si>
  <si>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</si>
  <si>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</si>
  <si>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</si>
  <si>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</si>
  <si>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</si>
  <si>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</si>
  <si>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</si>
  <si>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</si>
  <si>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</si>
  <si>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</si>
  <si>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</si>
  <si>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</si>
  <si>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</si>
  <si>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</si>
  <si>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</si>
  <si>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</si>
  <si>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</si>
  <si>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</si>
  <si>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</si>
  <si>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</si>
  <si>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</si>
  <si>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</si>
  <si>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</si>
  <si>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</si>
  <si>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</si>
  <si>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</si>
  <si>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</si>
  <si>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</si>
  <si>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</si>
  <si>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</si>
  <si>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</si>
  <si>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</si>
  <si>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</si>
  <si>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</si>
  <si>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</si>
  <si>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</si>
  <si>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</si>
  <si>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</si>
  <si>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</si>
  <si>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</si>
  <si>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</si>
  <si>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</si>
  <si>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</si>
  <si>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</si>
  <si>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</si>
  <si>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</si>
  <si>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</si>
  <si>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</si>
  <si>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</si>
  <si>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</si>
  <si>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</si>
  <si>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</si>
  <si>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</si>
  <si>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</si>
  <si>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</si>
  <si>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</si>
  <si>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</si>
  <si>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</si>
  <si>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</si>
  <si>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</si>
  <si>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</si>
  <si>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</si>
  <si>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</si>
  <si>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</si>
  <si>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</si>
  <si>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</si>
  <si>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</si>
  <si>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</si>
  <si>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</si>
  <si>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</si>
  <si>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</si>
  <si>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</si>
  <si>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</si>
  <si>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</si>
  <si>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</si>
  <si>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</si>
  <si>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</si>
  <si>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</si>
  <si>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</si>
  <si>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</si>
  <si>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</si>
  <si>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</si>
  <si>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</si>
  <si>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</si>
  <si>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</si>
  <si>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</si>
  <si>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</si>
  <si>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</si>
  <si>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</si>
  <si>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</si>
  <si>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</si>
  <si>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</si>
  <si>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</si>
  <si>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</si>
  <si>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</si>
  <si>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</si>
  <si>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</si>
  <si>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</si>
  <si>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</si>
  <si>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</si>
  <si>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</si>
  <si>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</si>
  <si>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</si>
  <si>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</si>
  <si>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</si>
  <si>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</si>
  <si>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</si>
  <si>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</si>
  <si>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</si>
  <si>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</si>
  <si>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</si>
  <si>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</si>
  <si>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</si>
  <si>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</si>
  <si>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</si>
  <si>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</si>
  <si>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</si>
  <si>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</si>
  <si>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</si>
  <si>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</si>
  <si>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</si>
  <si>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</si>
  <si>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</si>
  <si>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</si>
  <si>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</si>
  <si>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</si>
  <si>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</si>
  <si>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</si>
  <si>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</si>
  <si>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</si>
  <si>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</si>
  <si>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</si>
  <si>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</si>
  <si>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</si>
  <si>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</si>
  <si>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</si>
  <si>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</si>
  <si>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</si>
  <si>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</si>
  <si>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</si>
  <si>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</si>
  <si>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</si>
  <si>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</si>
  <si>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</si>
  <si>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</si>
  <si>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</si>
  <si>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</si>
  <si>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</si>
  <si>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</si>
  <si>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</si>
  <si>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</si>
  <si>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</si>
  <si>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</si>
  <si>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</si>
  <si>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</si>
  <si>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</si>
  <si>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</si>
  <si>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</si>
  <si>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</si>
  <si>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</si>
  <si>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</si>
  <si>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</si>
  <si>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</si>
  <si>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</si>
  <si>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</si>
  <si>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</si>
  <si>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</si>
  <si>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</si>
  <si>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</si>
  <si>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</si>
  <si>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</si>
  <si>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</si>
  <si>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</si>
  <si>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</si>
  <si>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</si>
  <si>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</si>
  <si>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</si>
  <si>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</si>
  <si>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</si>
  <si>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</si>
  <si>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</si>
  <si>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</si>
  <si>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</si>
  <si>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</si>
  <si>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</si>
  <si>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</si>
  <si>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</si>
  <si>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</si>
  <si>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</si>
  <si>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</si>
  <si>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</si>
  <si>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</si>
  <si>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</si>
  <si>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</si>
  <si>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</si>
  <si>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</si>
  <si>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</si>
  <si>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</si>
  <si>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</si>
  <si>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</si>
  <si>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</si>
  <si>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</si>
  <si>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</si>
  <si>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</si>
  <si>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</si>
  <si>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</si>
  <si>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</si>
  <si>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</si>
  <si>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</si>
  <si>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</si>
  <si>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</si>
  <si>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</si>
  <si>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</si>
  <si>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</si>
  <si>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</si>
  <si>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</si>
  <si>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</si>
  <si>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</si>
  <si>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</si>
  <si>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</si>
  <si>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</si>
  <si>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</si>
  <si>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</si>
  <si>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</si>
  <si>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</si>
  <si>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</si>
  <si>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</si>
  <si>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</si>
  <si>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</si>
  <si>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</si>
  <si>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</si>
  <si>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</si>
  <si>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</si>
  <si>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</si>
  <si>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</si>
  <si>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</si>
  <si>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</si>
  <si>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</si>
  <si>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</si>
  <si>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</si>
  <si>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</si>
  <si>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</si>
  <si>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</si>
  <si>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</si>
  <si>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</si>
  <si>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</si>
  <si>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</si>
  <si>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</si>
  <si>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</si>
  <si>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</si>
  <si>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</si>
  <si>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</si>
  <si>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</si>
  <si>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</si>
  <si>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</si>
  <si>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</si>
  <si>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</si>
  <si>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</si>
  <si>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</si>
  <si>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</si>
  <si>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</si>
  <si>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</si>
  <si>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</si>
  <si>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</si>
  <si>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</si>
  <si>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</si>
  <si>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</si>
  <si>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</si>
  <si>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</si>
  <si>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</si>
  <si>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</si>
  <si>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</si>
  <si>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</si>
  <si>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</si>
  <si>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</si>
  <si>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</si>
  <si>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</si>
  <si>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</si>
  <si>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</si>
  <si>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</si>
  <si>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</si>
  <si>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</si>
  <si>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</si>
  <si>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</si>
  <si>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</si>
  <si>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</si>
  <si>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</si>
  <si>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</si>
  <si>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</si>
  <si>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</si>
  <si>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</si>
  <si>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</si>
  <si>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</si>
  <si>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</si>
  <si>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</si>
  <si>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</si>
  <si>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</si>
  <si>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</si>
  <si>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</si>
  <si>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</si>
  <si>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</si>
  <si>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</si>
  <si>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</si>
  <si>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</si>
  <si>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</si>
  <si>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</si>
  <si>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</si>
  <si>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</si>
  <si>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</si>
  <si>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</si>
  <si>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</si>
  <si>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</si>
  <si>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</si>
  <si>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</si>
  <si>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</si>
  <si>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</si>
  <si>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</si>
  <si>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</si>
  <si>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</si>
  <si>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</si>
  <si>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</si>
  <si>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</si>
  <si>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</si>
  <si>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</si>
  <si>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</si>
  <si>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</si>
  <si>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</si>
  <si>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</si>
  <si>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</si>
  <si>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</si>
  <si>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</si>
  <si>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</si>
  <si>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</si>
  <si>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</si>
  <si>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</si>
  <si>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</si>
  <si>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</si>
  <si>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</si>
  <si>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</si>
  <si>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</si>
  <si>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</si>
  <si>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</si>
  <si>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</si>
  <si>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</si>
  <si>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</si>
  <si>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</si>
  <si>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</si>
  <si>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</si>
  <si>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</si>
  <si>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</si>
  <si>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</si>
  <si>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</si>
  <si>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</si>
  <si>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</si>
  <si>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</si>
  <si>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</si>
  <si>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</si>
  <si>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</si>
  <si>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</si>
  <si>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</si>
  <si>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</si>
  <si>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</si>
  <si>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</si>
  <si>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</si>
  <si>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</si>
  <si>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</si>
  <si>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</si>
  <si>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</si>
  <si>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</si>
  <si>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</si>
  <si>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</si>
  <si>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</si>
  <si>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</si>
  <si>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</si>
  <si>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</si>
  <si>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</si>
  <si>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</si>
  <si>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</si>
  <si>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</si>
  <si>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</si>
  <si>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</si>
  <si>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</si>
  <si>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</si>
  <si>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</si>
  <si>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</si>
  <si>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</si>
  <si>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</si>
  <si>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</si>
  <si>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</si>
  <si>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</si>
  <si>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</si>
  <si>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</si>
  <si>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</si>
  <si>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</si>
  <si>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</si>
  <si>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</si>
  <si>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</si>
  <si>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</si>
  <si>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</si>
  <si>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</si>
  <si>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</si>
  <si>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</si>
  <si>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</si>
  <si>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</si>
  <si>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</si>
  <si>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</si>
  <si>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</si>
  <si>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</si>
  <si>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</si>
  <si>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</si>
  <si>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</si>
  <si>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</si>
  <si>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</si>
  <si>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</si>
  <si>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</si>
  <si>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</si>
  <si>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</si>
  <si>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</si>
  <si>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</si>
  <si>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</si>
  <si>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</si>
  <si>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</si>
  <si>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</si>
  <si>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</si>
  <si>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</si>
  <si>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</si>
  <si>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</si>
  <si>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</si>
  <si>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</si>
  <si>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</si>
  <si>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</si>
  <si>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</si>
  <si>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</si>
  <si>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</si>
  <si>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</si>
  <si>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</si>
  <si>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</si>
  <si>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</si>
  <si>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</si>
  <si>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</si>
  <si>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</si>
  <si>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</si>
  <si>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</si>
  <si>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</si>
  <si>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</si>
  <si>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</si>
  <si>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</si>
  <si>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</si>
  <si>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</si>
  <si>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</si>
  <si>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</si>
  <si>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</si>
  <si>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</si>
  <si>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</si>
  <si>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</si>
  <si>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</si>
  <si>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</si>
  <si>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</si>
  <si>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</si>
  <si>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</si>
  <si>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</si>
  <si>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</si>
  <si>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</si>
  <si>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</si>
  <si>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</si>
  <si>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</si>
  <si>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</si>
  <si>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</si>
  <si>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</si>
  <si>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</si>
  <si>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</si>
  <si>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</si>
  <si>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</si>
  <si>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</si>
  <si>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</si>
  <si>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</si>
  <si>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</si>
  <si>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</si>
  <si>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</si>
  <si>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</si>
  <si>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</si>
  <si>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</si>
  <si>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</si>
  <si>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</si>
  <si>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</si>
  <si>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</si>
  <si>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</si>
  <si>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</si>
  <si>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</si>
  <si>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</si>
  <si>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</si>
  <si>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</si>
  <si>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</si>
  <si>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</si>
  <si>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</si>
  <si>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</si>
  <si>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</si>
  <si>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</si>
  <si>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</si>
  <si>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</si>
  <si>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</si>
  <si>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</si>
  <si>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</si>
  <si>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</si>
  <si>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</si>
  <si>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</si>
  <si>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</si>
  <si>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</si>
  <si>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</si>
  <si>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</si>
  <si>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</si>
  <si>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</si>
  <si>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</si>
  <si>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</si>
  <si>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</si>
  <si>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</si>
  <si>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</si>
  <si>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</si>
  <si>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</si>
  <si>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</si>
  <si>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</si>
  <si>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</si>
  <si>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</si>
  <si>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</si>
  <si>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</si>
  <si>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</si>
  <si>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</si>
  <si>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</si>
  <si>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</si>
  <si>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</si>
  <si>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</si>
  <si>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</si>
  <si>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</si>
  <si>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</si>
  <si>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</si>
  <si>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</si>
  <si>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</si>
  <si>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</si>
  <si>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</si>
  <si>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</si>
  <si>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</si>
  <si>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</si>
  <si>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</si>
  <si>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</si>
  <si>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</si>
  <si>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</si>
  <si>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</si>
  <si>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</si>
  <si>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</si>
  <si>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</si>
  <si>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</si>
  <si>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</si>
  <si>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</si>
  <si>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</si>
  <si>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</si>
  <si>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</si>
  <si>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</si>
  <si>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</si>
  <si>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</si>
  <si>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</si>
  <si>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</si>
  <si>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</si>
  <si>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</si>
  <si>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</si>
  <si>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</si>
  <si>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</si>
  <si>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</si>
  <si>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</si>
  <si>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</si>
  <si>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</si>
  <si>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</si>
  <si>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</si>
  <si>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</si>
  <si>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</si>
  <si>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</si>
  <si>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</si>
  <si>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</si>
  <si>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</si>
  <si>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</si>
  <si>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</si>
  <si>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</si>
  <si>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</si>
  <si>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</si>
  <si>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</si>
  <si>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</si>
  <si>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</si>
  <si>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</si>
  <si>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</si>
  <si>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</si>
  <si>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</si>
  <si>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</si>
  <si>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</si>
  <si>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</si>
  <si>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</si>
  <si>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</si>
  <si>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</si>
  <si>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</si>
  <si>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</si>
  <si>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</si>
  <si>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</si>
  <si>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</si>
  <si>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</si>
  <si>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</si>
  <si>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</si>
  <si>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</si>
  <si>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</si>
  <si>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</si>
  <si>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</si>
  <si>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</si>
  <si>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</si>
  <si>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</si>
  <si>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</si>
  <si>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</si>
  <si>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</si>
  <si>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</si>
  <si>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</si>
  <si>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</si>
  <si>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</si>
  <si>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</si>
  <si>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</si>
  <si>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</si>
  <si>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</si>
  <si>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</si>
  <si>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</si>
  <si>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</si>
  <si>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</si>
  <si>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</si>
  <si>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</si>
  <si>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</si>
  <si>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</si>
  <si>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</si>
  <si>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</si>
  <si>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</si>
  <si>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</si>
  <si>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</si>
  <si>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</si>
  <si>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</si>
  <si>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</si>
  <si>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</si>
  <si>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</si>
  <si>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</si>
  <si>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</si>
  <si>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</si>
  <si>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</si>
  <si>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</si>
  <si>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</si>
  <si>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</si>
  <si>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</si>
  <si>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</si>
  <si>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</si>
  <si>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</si>
  <si>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</si>
  <si>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</si>
  <si>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</si>
  <si>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</si>
  <si>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</si>
  <si>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</si>
  <si>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</si>
  <si>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</si>
  <si>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</si>
  <si>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</si>
  <si>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</si>
  <si>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</si>
  <si>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</si>
  <si>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</si>
  <si>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</si>
  <si>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</si>
  <si>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</si>
  <si>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</si>
  <si>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</si>
  <si>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</si>
  <si>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</si>
  <si>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</si>
  <si>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</si>
  <si>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</si>
  <si>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</si>
  <si>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</si>
  <si>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</si>
  <si>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</si>
  <si>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</si>
  <si>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</si>
  <si>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</si>
  <si>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</si>
  <si>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</si>
  <si>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</si>
  <si>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</si>
  <si>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</si>
  <si>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</si>
  <si>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</si>
  <si>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</si>
  <si>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</si>
  <si>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</si>
  <si>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</si>
  <si>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</si>
  <si>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</si>
  <si>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</si>
  <si>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</si>
  <si>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</si>
  <si>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</si>
  <si>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</si>
  <si>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</si>
  <si>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</si>
  <si>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</si>
  <si>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</si>
  <si>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</si>
  <si>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</si>
  <si>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</si>
  <si>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</si>
  <si>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</si>
  <si>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</si>
  <si>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</si>
  <si>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</si>
  <si>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</si>
  <si>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</si>
  <si>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</si>
  <si>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</si>
  <si>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</si>
  <si>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</si>
  <si>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</si>
  <si>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</si>
  <si>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</si>
  <si>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</si>
  <si>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</si>
  <si>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</si>
  <si>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</si>
  <si>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</si>
  <si>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</si>
  <si>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</si>
  <si>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</si>
  <si>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</si>
  <si>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</si>
  <si>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</si>
  <si>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</si>
  <si>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</si>
  <si>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</si>
  <si>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</si>
  <si>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</si>
  <si>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</si>
  <si>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</si>
  <si>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</si>
  <si>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</si>
  <si>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</si>
  <si>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</si>
  <si>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</si>
  <si>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</si>
  <si>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</si>
  <si>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</si>
  <si>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</si>
  <si>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</si>
  <si>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</si>
  <si>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</si>
  <si>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</si>
  <si>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</si>
  <si>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</si>
  <si>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</si>
  <si>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</si>
  <si>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</si>
  <si>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</si>
  <si>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</si>
  <si>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</si>
  <si>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</si>
  <si>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</si>
  <si>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</si>
  <si>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</si>
  <si>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</si>
  <si>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</si>
  <si>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</si>
  <si>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</si>
  <si>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</si>
  <si>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</si>
  <si>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</si>
  <si>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</si>
  <si>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</si>
  <si>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</si>
  <si>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</si>
  <si>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</si>
  <si>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</si>
  <si>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</si>
  <si>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</si>
  <si>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</si>
  <si>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</si>
  <si>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</si>
  <si>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</si>
  <si>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</si>
  <si>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</si>
  <si>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</si>
  <si>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</si>
  <si>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</si>
  <si>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</si>
  <si>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</si>
  <si>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</si>
  <si>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</si>
  <si>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</si>
  <si>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</si>
  <si>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</si>
  <si>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</si>
  <si>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</si>
  <si>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</si>
  <si>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</si>
  <si>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</si>
  <si>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</si>
  <si>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</si>
  <si>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</si>
  <si>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</si>
  <si>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</si>
  <si>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</si>
  <si>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</si>
  <si>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</si>
  <si>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</si>
  <si>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</si>
  <si>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</si>
  <si>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</si>
  <si>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</si>
  <si>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</si>
  <si>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</si>
  <si>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</si>
  <si>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</si>
  <si>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</si>
  <si>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</si>
  <si>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</si>
  <si>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</si>
  <si>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</si>
  <si>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</si>
  <si>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</si>
  <si>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</si>
  <si>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</si>
  <si>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</si>
  <si>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</si>
  <si>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</si>
  <si>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</si>
  <si>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</si>
  <si>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</si>
  <si>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</si>
  <si>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</si>
  <si>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</si>
  <si>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</si>
  <si>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</si>
  <si>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</si>
  <si>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</si>
  <si>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</si>
  <si>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</si>
  <si>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</si>
  <si>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</si>
  <si>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</si>
  <si>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</si>
  <si>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</si>
  <si>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</si>
  <si>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</si>
  <si>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</si>
  <si>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</si>
  <si>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</si>
  <si>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</si>
  <si>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</si>
  <si>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</si>
  <si>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</si>
  <si>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</si>
  <si>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</si>
  <si>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</si>
  <si>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</si>
  <si>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</si>
  <si>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</si>
  <si>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</si>
  <si>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</si>
  <si>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</si>
  <si>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</si>
  <si>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</si>
  <si>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</si>
  <si>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</si>
  <si>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</si>
  <si>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</si>
  <si>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</si>
  <si>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</si>
  <si>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</si>
  <si>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</si>
  <si>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</si>
  <si>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</si>
  <si>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</si>
  <si>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</si>
  <si>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</si>
  <si>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</si>
  <si>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</si>
  <si>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</si>
  <si>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</si>
  <si>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</si>
  <si>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</si>
  <si>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</si>
  <si>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</si>
  <si>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</si>
  <si>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</si>
  <si>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</si>
  <si>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</si>
  <si>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</si>
  <si>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</si>
  <si>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</si>
  <si>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</si>
  <si>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</si>
  <si>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</si>
  <si>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</si>
  <si>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</si>
  <si>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</si>
  <si>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</si>
  <si>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</si>
  <si>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</si>
  <si>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</si>
  <si>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</si>
  <si>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</si>
  <si>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</si>
  <si>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</si>
  <si>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</si>
  <si>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</si>
  <si>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</si>
  <si>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</si>
  <si>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</si>
  <si>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</si>
  <si>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</si>
  <si>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</si>
  <si>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</si>
  <si>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</si>
  <si>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</si>
  <si>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</si>
  <si>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</si>
  <si>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</si>
  <si>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</si>
  <si>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</si>
  <si>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</si>
  <si>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</si>
  <si>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</si>
  <si>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</si>
  <si>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</si>
  <si>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</si>
  <si>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</si>
  <si>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</si>
  <si>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</si>
  <si>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</si>
  <si>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</si>
  <si>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</si>
  <si>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</si>
  <si>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</si>
  <si>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</si>
  <si>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</si>
  <si>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</si>
  <si>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</si>
  <si>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</si>
  <si>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</si>
  <si>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</si>
  <si>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</si>
  <si>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</si>
  <si>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</si>
  <si>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</si>
  <si>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</si>
  <si>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</si>
  <si>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</si>
  <si>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</si>
  <si>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</si>
  <si>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</si>
  <si>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</si>
  <si>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</si>
  <si>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</si>
  <si>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</si>
  <si>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</si>
  <si>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</si>
  <si>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</si>
  <si>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</si>
  <si>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</si>
  <si>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</si>
  <si>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</si>
  <si>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</si>
  <si>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</si>
  <si>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</si>
  <si>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</si>
  <si>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</si>
  <si>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</si>
  <si>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</si>
  <si>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</si>
  <si>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</si>
  <si>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</si>
  <si>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</si>
  <si>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</si>
  <si>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</si>
  <si>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</si>
  <si>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</si>
  <si>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</si>
  <si>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</si>
  <si>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</si>
  <si>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</si>
  <si>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</si>
  <si>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</si>
  <si>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</si>
  <si>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</si>
  <si>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</si>
  <si>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</si>
  <si>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</si>
  <si>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</si>
  <si>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</si>
  <si>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</si>
  <si>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</si>
  <si>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</si>
  <si>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</si>
  <si>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</si>
  <si>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</si>
  <si>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</si>
  <si>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</si>
  <si>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</si>
  <si>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</si>
  <si>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</si>
  <si>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</si>
  <si>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</si>
  <si>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</si>
  <si>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</si>
  <si>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</si>
  <si>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</si>
  <si>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</si>
  <si>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</si>
  <si>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</si>
  <si>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</si>
  <si>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</si>
  <si>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</si>
  <si>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</si>
  <si>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</si>
  <si>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</si>
  <si>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</si>
  <si>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</si>
  <si>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</si>
  <si>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</si>
  <si>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</si>
  <si>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</si>
  <si>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</si>
  <si>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</si>
  <si>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</si>
  <si>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</si>
  <si>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</si>
  <si>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</si>
  <si>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</si>
  <si>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</si>
  <si>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</si>
  <si>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</si>
  <si>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</si>
  <si>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</si>
  <si>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</si>
  <si>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</si>
  <si>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</si>
  <si>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</si>
  <si>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</si>
  <si>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</si>
  <si>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</si>
  <si>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</si>
  <si>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</si>
  <si>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</si>
  <si>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</si>
  <si>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</si>
  <si>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</si>
  <si>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</si>
  <si>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</si>
  <si>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</si>
  <si>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</si>
  <si>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</si>
  <si>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</si>
  <si>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</si>
  <si>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</si>
  <si>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</si>
  <si>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</si>
  <si>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</si>
  <si>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</si>
  <si>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</si>
  <si>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</si>
  <si>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</si>
  <si>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</si>
  <si>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</si>
  <si>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</si>
  <si>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</si>
  <si>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</si>
  <si>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</si>
  <si>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</si>
  <si>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</si>
  <si>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</si>
  <si>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</si>
  <si>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</si>
  <si>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</si>
  <si>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</si>
  <si>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</si>
  <si>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</si>
  <si>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</si>
  <si>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</si>
  <si>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</si>
  <si>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</si>
  <si>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</si>
  <si>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</si>
  <si>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</si>
  <si>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</si>
  <si>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</si>
  <si>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</si>
  <si>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</si>
  <si>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</si>
  <si>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</si>
  <si>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</si>
  <si>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</si>
  <si>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</si>
  <si>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</si>
  <si>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</si>
  <si>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</si>
  <si>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</si>
  <si>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</si>
  <si>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</si>
  <si>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</si>
  <si>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</si>
  <si>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</si>
  <si>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</si>
  <si>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</si>
  <si>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</si>
  <si>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</si>
  <si>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</si>
  <si>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</si>
  <si>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</si>
  <si>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</si>
  <si>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</si>
  <si>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</si>
  <si>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</si>
  <si>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</si>
  <si>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</si>
  <si>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</si>
  <si>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</si>
  <si>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</si>
  <si>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</si>
  <si>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</si>
  <si>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</si>
  <si>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</si>
  <si>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</si>
  <si>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</si>
  <si>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</si>
  <si>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</si>
  <si>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</si>
  <si>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</si>
  <si>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</si>
  <si>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</si>
  <si>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</si>
  <si>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</si>
  <si>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</si>
  <si>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</si>
  <si>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</si>
  <si>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</si>
  <si>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</si>
  <si>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</si>
  <si>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</si>
  <si>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</si>
  <si>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</si>
  <si>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</si>
  <si>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</si>
  <si>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</si>
  <si>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</si>
  <si>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</si>
  <si>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</si>
  <si>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</si>
  <si>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</si>
  <si>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</si>
  <si>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</si>
  <si>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</si>
  <si>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</si>
  <si>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</si>
  <si>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</si>
  <si>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</si>
  <si>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</si>
  <si>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</si>
  <si>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</si>
  <si>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</si>
  <si>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</si>
  <si>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</si>
  <si>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</si>
  <si>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</si>
  <si>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</si>
  <si>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</si>
  <si>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</si>
  <si>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</si>
  <si>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</si>
  <si>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</si>
  <si>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</si>
  <si>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</si>
  <si>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</si>
  <si>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</si>
  <si>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</si>
  <si>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</si>
  <si>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</si>
  <si>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</si>
  <si>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</si>
  <si>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</si>
  <si>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</si>
  <si>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</si>
  <si>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</si>
  <si>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</si>
  <si>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</si>
  <si>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</si>
  <si>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</si>
  <si>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</si>
  <si>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</si>
  <si>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</si>
  <si>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</si>
  <si>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</si>
  <si>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</si>
  <si>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</si>
  <si>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</si>
  <si>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</si>
  <si>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</si>
  <si>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</si>
  <si>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</si>
  <si>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</si>
  <si>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</si>
  <si>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</si>
  <si>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</si>
  <si>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</si>
  <si>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</si>
  <si>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</si>
  <si>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</si>
  <si>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</si>
  <si>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</si>
  <si>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</si>
  <si>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</si>
  <si>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</si>
  <si>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</si>
  <si>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</si>
  <si>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</si>
  <si>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</si>
  <si>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</si>
  <si>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</si>
  <si>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</si>
  <si>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</si>
  <si>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</si>
  <si>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</si>
  <si>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</si>
  <si>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</si>
  <si>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</si>
  <si>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</si>
  <si>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</si>
  <si>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</si>
  <si>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</si>
  <si>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</si>
  <si>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</si>
  <si>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</si>
  <si>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</si>
  <si>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</si>
  <si>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</si>
  <si>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</si>
  <si>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</si>
  <si>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</si>
  <si>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</si>
  <si>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</si>
  <si>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</si>
  <si>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</si>
  <si>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</si>
  <si>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</si>
  <si>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</si>
  <si>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</si>
  <si>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</si>
  <si>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</si>
  <si>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</si>
  <si>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</si>
  <si>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</si>
  <si>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</si>
  <si>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</si>
  <si>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</si>
  <si>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</si>
  <si>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</si>
  <si>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</si>
  <si>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</si>
  <si>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</si>
  <si>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</si>
  <si>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</si>
  <si>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</si>
  <si>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</si>
  <si>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</si>
  <si>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</si>
  <si>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</si>
  <si>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</si>
  <si>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</si>
  <si>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</si>
  <si>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</si>
  <si>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</si>
  <si>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</si>
  <si>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</si>
  <si>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</si>
  <si>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</si>
  <si>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</si>
  <si>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</si>
  <si>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</si>
  <si>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</si>
  <si>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</si>
  <si>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</si>
  <si>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</si>
  <si>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</si>
  <si>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</si>
  <si>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</si>
  <si>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</si>
  <si>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</si>
  <si>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</si>
  <si>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</si>
  <si>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</si>
  <si>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</si>
  <si>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</si>
  <si>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</si>
  <si>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</si>
  <si>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</si>
  <si>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</si>
  <si>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</si>
  <si>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</si>
  <si>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</si>
  <si>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</si>
  <si>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</si>
  <si>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</si>
  <si>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</si>
  <si>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</si>
  <si>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</si>
  <si>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</si>
  <si>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</si>
  <si>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</si>
  <si>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</si>
  <si>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</si>
  <si>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</si>
  <si>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</si>
  <si>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</si>
  <si>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</si>
  <si>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</si>
  <si>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</si>
  <si>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</si>
  <si>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</si>
  <si>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</si>
  <si>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</si>
  <si>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</si>
  <si>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</si>
  <si>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</si>
  <si>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</si>
  <si>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</si>
  <si>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</si>
  <si>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</si>
  <si>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</si>
  <si>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</si>
  <si>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</si>
  <si>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</si>
  <si>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</si>
  <si>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</si>
  <si>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</si>
  <si>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</si>
  <si>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</si>
  <si>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</si>
  <si>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</si>
  <si>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</si>
  <si>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</si>
  <si>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</si>
  <si>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</si>
  <si>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</si>
  <si>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</si>
  <si>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</si>
  <si>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</si>
  <si>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</si>
  <si>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</si>
  <si>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</si>
  <si>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</si>
  <si>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</si>
  <si>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</si>
  <si>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</si>
  <si>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</si>
  <si>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</si>
  <si>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</si>
  <si>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</si>
  <si>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</si>
  <si>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</si>
  <si>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</si>
  <si>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</si>
  <si>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</si>
  <si>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</si>
  <si>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</si>
  <si>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</si>
  <si>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</si>
  <si>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</si>
  <si>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</si>
  <si>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</si>
  <si>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</si>
  <si>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</si>
  <si>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</si>
  <si>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</si>
  <si>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</si>
  <si>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</si>
  <si>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</si>
  <si>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</si>
  <si>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</si>
  <si>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</si>
  <si>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</si>
  <si>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</si>
  <si>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</si>
  <si>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</si>
  <si>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</si>
  <si>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</si>
  <si>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</si>
  <si>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</si>
  <si>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</si>
  <si>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</si>
  <si>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</si>
  <si>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</si>
  <si>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</si>
  <si>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</si>
  <si>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</si>
  <si>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</si>
  <si>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</si>
  <si>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</si>
  <si>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</si>
  <si>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</si>
  <si>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</si>
  <si>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</si>
  <si>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</si>
  <si>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</si>
  <si>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</si>
  <si>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</si>
  <si>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</si>
  <si>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</si>
  <si>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</si>
  <si>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</si>
  <si>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</si>
  <si>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</si>
  <si>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</si>
  <si>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</si>
  <si>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</si>
  <si>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</si>
  <si>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</si>
  <si>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</si>
  <si>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</si>
  <si>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</si>
  <si>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</si>
  <si>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</si>
  <si>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</si>
  <si>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</si>
  <si>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</si>
  <si>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</si>
  <si>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</si>
  <si>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</si>
  <si>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</si>
  <si>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</si>
  <si>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</si>
  <si>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</si>
  <si>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</si>
  <si>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</si>
  <si>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</si>
  <si>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</si>
  <si>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</si>
  <si>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</si>
  <si>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</si>
  <si>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</si>
  <si>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</si>
  <si>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</si>
  <si>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</si>
  <si>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</si>
  <si>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</si>
  <si>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</si>
  <si>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</si>
  <si>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</si>
  <si>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</si>
  <si>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</si>
  <si>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</si>
  <si>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</si>
  <si>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</si>
  <si>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</si>
  <si>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</si>
  <si>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</si>
  <si>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</si>
  <si>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</si>
  <si>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</si>
  <si>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</si>
  <si>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</si>
  <si>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</si>
  <si>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</si>
  <si>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</si>
  <si>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</si>
  <si>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</si>
  <si>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</si>
  <si>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</si>
  <si>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</si>
  <si>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</si>
  <si>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</si>
  <si>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</si>
  <si>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</si>
  <si>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</si>
  <si>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</si>
  <si>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</si>
  <si>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</si>
  <si>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</si>
  <si>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</si>
  <si>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</si>
  <si>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</si>
  <si>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</si>
  <si>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</si>
  <si>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</si>
  <si>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</si>
  <si>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</si>
  <si>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</si>
  <si>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</si>
  <si>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</si>
  <si>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</si>
  <si>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</si>
  <si>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</si>
  <si>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</si>
  <si>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</si>
  <si>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</si>
  <si>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</si>
  <si>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</si>
  <si>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</si>
  <si>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</si>
  <si>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</si>
  <si>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</si>
  <si>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</si>
  <si>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</si>
  <si>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</si>
  <si>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</si>
  <si>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</si>
  <si>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</si>
  <si>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</si>
  <si>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</si>
  <si>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</si>
  <si>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</si>
  <si>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</si>
  <si>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</si>
  <si>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</si>
  <si>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</si>
  <si>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</si>
  <si>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</si>
  <si>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</si>
  <si>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</si>
  <si>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</si>
  <si>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</si>
  <si>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</si>
  <si>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</si>
  <si>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</si>
  <si>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</si>
  <si>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</si>
  <si>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</si>
  <si>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</si>
  <si>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</si>
  <si>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</si>
  <si>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</si>
  <si>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</si>
  <si>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</si>
  <si>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</si>
  <si>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</si>
  <si>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</si>
  <si>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</si>
  <si>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</si>
  <si>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</si>
  <si>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</si>
  <si>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</si>
  <si>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</si>
  <si>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</si>
  <si>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</si>
  <si>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</si>
  <si>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</si>
  <si>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</si>
  <si>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</si>
  <si>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</si>
  <si>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</si>
  <si>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</si>
  <si>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</si>
  <si>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</si>
  <si>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</si>
  <si>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</si>
  <si>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</si>
  <si>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</si>
  <si>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</si>
  <si>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</si>
  <si>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</si>
  <si>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</si>
  <si>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</si>
  <si>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</si>
  <si>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</si>
  <si>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</si>
  <si>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</si>
  <si>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</si>
  <si>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</si>
  <si>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</si>
  <si>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</si>
  <si>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</si>
  <si>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</si>
  <si>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</si>
  <si>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</si>
  <si>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</si>
  <si>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</si>
  <si>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</si>
  <si>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</si>
  <si>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</si>
  <si>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</si>
  <si>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</si>
  <si>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</si>
  <si>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</si>
  <si>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</si>
  <si>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</si>
  <si>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</si>
  <si>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</si>
  <si>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</si>
  <si>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</si>
  <si>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</si>
  <si>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</si>
  <si>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</si>
  <si>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</si>
  <si>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</si>
  <si>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</si>
  <si>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</si>
  <si>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</si>
  <si>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</si>
  <si>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</si>
  <si>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</si>
  <si>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</si>
  <si>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</si>
  <si>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</si>
  <si>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</si>
  <si>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</si>
  <si>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</si>
  <si>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</si>
  <si>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</si>
  <si>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</si>
  <si>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</si>
  <si>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</si>
  <si>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</si>
  <si>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</si>
  <si>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</si>
  <si>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</si>
  <si>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</si>
  <si>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</si>
  <si>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</si>
  <si>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</si>
  <si>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</si>
  <si>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</si>
  <si>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</si>
  <si>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</si>
  <si>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</si>
  <si>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</si>
  <si>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</si>
  <si>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</si>
  <si>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</si>
  <si>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</si>
  <si>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</si>
  <si>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</si>
  <si>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</si>
  <si>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</si>
  <si>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</si>
  <si>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</si>
  <si>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</si>
  <si>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</si>
  <si>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</si>
  <si>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</si>
  <si>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</si>
  <si>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</si>
  <si>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</si>
  <si>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</si>
  <si>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</si>
  <si>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</si>
  <si>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</si>
  <si>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</si>
  <si>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</si>
  <si>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</si>
  <si>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</si>
  <si>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</si>
  <si>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</si>
  <si>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</si>
  <si>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</si>
  <si>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</si>
  <si>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</si>
  <si>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</si>
  <si>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</si>
  <si>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</si>
  <si>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</si>
  <si>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</si>
  <si>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</si>
  <si>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</si>
  <si>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</si>
  <si>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</si>
  <si>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</si>
  <si>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</si>
  <si>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</si>
  <si>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</si>
  <si>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</si>
  <si>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</si>
  <si>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</si>
  <si>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</si>
  <si>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</si>
  <si>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</si>
  <si>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</si>
  <si>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</si>
  <si>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</si>
  <si>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</si>
  <si>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</si>
  <si>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</si>
  <si>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</si>
  <si>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</si>
  <si>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</si>
  <si>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</si>
  <si>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</si>
  <si>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</si>
  <si>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</si>
  <si>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</si>
  <si>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</si>
  <si>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</si>
  <si>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</si>
  <si>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</si>
  <si>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</si>
  <si>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</si>
  <si>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</si>
  <si>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</si>
  <si>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</si>
  <si>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</si>
  <si>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</si>
  <si>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</si>
  <si>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</si>
  <si>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</si>
  <si>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</si>
  <si>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</si>
  <si>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</si>
  <si>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</si>
  <si>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</si>
  <si>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</si>
  <si>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</si>
  <si>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</si>
  <si>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</si>
  <si>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</si>
  <si>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</si>
  <si>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</si>
  <si>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</si>
  <si>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</si>
  <si>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</si>
  <si>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</si>
  <si>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</si>
  <si>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</si>
  <si>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</si>
  <si>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</si>
  <si>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</si>
  <si>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</si>
  <si>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</si>
  <si>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</si>
  <si>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</si>
  <si>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</si>
  <si>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</si>
  <si>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</si>
  <si>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</si>
  <si>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</si>
  <si>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</si>
  <si>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</si>
  <si>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</si>
  <si>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</si>
  <si>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</si>
  <si>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</si>
  <si>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</si>
  <si>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</si>
  <si>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</si>
  <si>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</si>
  <si>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</si>
  <si>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</si>
  <si>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</si>
  <si>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</si>
  <si>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</si>
  <si>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</si>
  <si>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</si>
  <si>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</si>
  <si>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</si>
  <si>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</si>
  <si>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</si>
  <si>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</si>
  <si>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</si>
  <si>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</si>
  <si>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</si>
  <si>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</si>
  <si>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</si>
  <si>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</si>
  <si>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</si>
  <si>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</si>
  <si>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</si>
  <si>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</si>
  <si>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</si>
  <si>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</si>
  <si>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</si>
  <si>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</si>
  <si>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</si>
  <si>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</si>
  <si>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</si>
  <si>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</si>
  <si>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</si>
  <si>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</si>
  <si>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</si>
  <si>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</si>
  <si>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</si>
  <si>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</si>
  <si>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</si>
  <si>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</si>
  <si>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</si>
  <si>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</si>
  <si>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</si>
  <si>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</si>
  <si>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</si>
  <si>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</si>
  <si>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</si>
  <si>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</si>
  <si>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</si>
  <si>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</si>
  <si>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</si>
  <si>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</si>
  <si>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</si>
  <si>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</si>
  <si>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</si>
  <si>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</si>
  <si>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</si>
  <si>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</si>
  <si>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</si>
  <si>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</si>
  <si>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</si>
  <si>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</si>
  <si>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</si>
  <si>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</si>
  <si>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</si>
  <si>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</si>
  <si>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</si>
  <si>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</si>
  <si>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</si>
  <si>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</si>
  <si>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</si>
  <si>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</si>
  <si>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</si>
  <si>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</si>
  <si>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</si>
  <si>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</si>
  <si>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</si>
  <si>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</si>
  <si>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</si>
  <si>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</si>
  <si>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</si>
  <si>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</si>
  <si>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</si>
  <si>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</si>
  <si>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</si>
  <si>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</si>
  <si>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</si>
  <si>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</si>
  <si>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</si>
  <si>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</si>
  <si>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</si>
  <si>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</si>
  <si>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</si>
  <si>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</si>
  <si>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</si>
  <si>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</si>
  <si>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</si>
  <si>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</si>
  <si>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</si>
  <si>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</si>
  <si>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</si>
  <si>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</si>
  <si>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</si>
  <si>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</si>
  <si>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</si>
  <si>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</si>
  <si>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</si>
  <si>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</si>
  <si>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</si>
  <si>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</si>
  <si>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</si>
  <si>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</si>
  <si>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</si>
  <si>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</si>
  <si>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</si>
  <si>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</si>
  <si>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</si>
  <si>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</si>
  <si>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</si>
  <si>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</si>
  <si>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</si>
  <si>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</si>
  <si>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</si>
  <si>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</si>
  <si>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</si>
  <si>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</si>
  <si>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</si>
  <si>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</si>
  <si>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</si>
  <si>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</si>
  <si>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</si>
  <si>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</si>
  <si>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</si>
  <si>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</si>
  <si>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</si>
  <si>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</si>
  <si>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</si>
  <si>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</si>
  <si>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</si>
  <si>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</si>
  <si>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</si>
  <si>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</si>
  <si>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</si>
  <si>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</si>
  <si>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</si>
  <si>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</si>
  <si>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</si>
  <si>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</si>
  <si>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</si>
  <si>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</si>
  <si>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</si>
  <si>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</si>
  <si>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</si>
  <si>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</si>
  <si>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</si>
  <si>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</si>
  <si>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</si>
  <si>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</si>
  <si>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</si>
  <si>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</si>
  <si>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</si>
  <si>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</si>
  <si>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</si>
  <si>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</si>
  <si>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</si>
  <si>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</si>
  <si>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</si>
  <si>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</si>
  <si>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</si>
  <si>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</si>
  <si>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</si>
  <si>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</si>
  <si>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</si>
  <si>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</si>
  <si>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</si>
  <si>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</si>
  <si>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</si>
  <si>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</si>
  <si>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</si>
  <si>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</si>
  <si>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</si>
  <si>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</si>
  <si>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</si>
  <si>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</si>
  <si>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</si>
  <si>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</si>
  <si>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</si>
  <si>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</si>
  <si>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</si>
  <si>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</si>
  <si>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</si>
  <si>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</si>
  <si>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</si>
  <si>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</si>
  <si>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</si>
  <si>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</si>
  <si>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</si>
  <si>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</si>
  <si>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</si>
  <si>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</si>
  <si>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</si>
  <si>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</si>
  <si>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</si>
  <si>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</si>
  <si>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</si>
  <si>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</si>
  <si>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</si>
  <si>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</si>
  <si>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</si>
  <si>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</si>
  <si>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</si>
  <si>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</si>
  <si>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</si>
  <si>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</si>
  <si>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</si>
  <si>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</si>
  <si>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</si>
  <si>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</si>
  <si>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</si>
  <si>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</si>
  <si>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</si>
  <si>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</si>
  <si>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</si>
  <si>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</si>
  <si>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</si>
  <si>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</si>
  <si>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</si>
  <si>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</si>
  <si>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</si>
  <si>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</si>
  <si>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</si>
  <si>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</si>
  <si>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</si>
  <si>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</si>
  <si>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</si>
  <si>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</si>
  <si>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</si>
  <si>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</si>
  <si>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</si>
  <si>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</si>
  <si>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</si>
  <si>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</si>
  <si>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</si>
  <si>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</si>
  <si>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</si>
  <si>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</si>
  <si>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</si>
  <si>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</si>
  <si>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</si>
  <si>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</si>
  <si>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</si>
  <si>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</si>
  <si>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</si>
  <si>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</si>
  <si>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</si>
  <si>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</si>
  <si>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</si>
  <si>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</si>
  <si>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</si>
  <si>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</si>
  <si>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</si>
  <si>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</si>
  <si>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</si>
  <si>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</si>
  <si>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</si>
  <si>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</si>
  <si>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</si>
  <si>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</si>
  <si>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</si>
  <si>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</si>
  <si>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</si>
  <si>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</si>
  <si>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</si>
  <si>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</si>
  <si>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</si>
  <si>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</si>
  <si>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</si>
  <si>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</si>
  <si>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</si>
  <si>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</si>
  <si>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</si>
  <si>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</si>
  <si>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</si>
  <si>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</si>
  <si>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</si>
  <si>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</si>
  <si>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</si>
  <si>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</si>
  <si>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</si>
  <si>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</si>
  <si>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</si>
  <si>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</si>
  <si>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</si>
  <si>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</si>
  <si>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</si>
  <si>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</si>
  <si>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</si>
  <si>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</si>
  <si>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</si>
  <si>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</si>
  <si>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</si>
  <si>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</si>
  <si>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</si>
  <si>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</si>
  <si>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</si>
  <si>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</si>
  <si>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</si>
  <si>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</si>
  <si>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</si>
  <si>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</si>
  <si>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</si>
  <si>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</si>
  <si>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</si>
  <si>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</si>
  <si>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</si>
  <si>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</si>
  <si>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</si>
  <si>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</si>
  <si>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</si>
  <si>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</si>
  <si>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</si>
  <si>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</si>
  <si>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</si>
  <si>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</si>
  <si>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</si>
  <si>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</si>
  <si>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</si>
  <si>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</si>
  <si>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</si>
  <si>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</si>
  <si>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</si>
  <si>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</si>
  <si>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</si>
  <si>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</si>
  <si>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</si>
  <si>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</si>
  <si>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</si>
  <si>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</si>
  <si>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</si>
  <si>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</si>
  <si>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</si>
  <si>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</si>
  <si>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</si>
  <si>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</si>
  <si>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</si>
  <si>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</si>
  <si>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</si>
  <si>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</si>
  <si>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</si>
  <si>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</si>
  <si>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</si>
  <si>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</si>
  <si>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</si>
  <si>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</si>
  <si>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</si>
  <si>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</si>
  <si>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</si>
  <si>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</si>
  <si>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</si>
  <si>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</si>
  <si>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</si>
  <si>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</si>
  <si>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</si>
  <si>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</si>
  <si>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</si>
  <si>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</si>
  <si>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</si>
  <si>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</si>
  <si>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</si>
  <si>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</si>
  <si>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</si>
  <si>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</si>
  <si>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</si>
  <si>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</si>
  <si>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</si>
  <si>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</si>
  <si>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</si>
  <si>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</si>
  <si>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</si>
  <si>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</si>
  <si>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</si>
  <si>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</si>
  <si>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</si>
  <si>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</si>
  <si>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</si>
  <si>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</si>
  <si>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</si>
  <si>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</si>
  <si>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</si>
  <si>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</si>
  <si>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</si>
  <si>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</si>
  <si>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</si>
  <si>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</si>
  <si>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</si>
  <si>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</si>
  <si>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</si>
  <si>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</si>
  <si>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</si>
  <si>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</si>
  <si>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</si>
  <si>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</si>
  <si>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</si>
  <si>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</si>
  <si>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</si>
  <si>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</si>
  <si>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</si>
  <si>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</si>
  <si>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</si>
  <si>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</si>
  <si>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</si>
  <si>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</si>
  <si>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</si>
  <si>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</si>
  <si>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</si>
  <si>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</si>
  <si>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</si>
  <si>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</si>
  <si>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</si>
  <si>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</si>
  <si>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</si>
  <si>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</si>
  <si>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</si>
  <si>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</si>
  <si>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</si>
  <si>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</si>
  <si>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</si>
  <si>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</si>
  <si>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</si>
  <si>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</si>
  <si>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</si>
  <si>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</si>
  <si>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</si>
  <si>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</si>
  <si>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</si>
  <si>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</si>
  <si>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</si>
  <si>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</si>
  <si>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</si>
  <si>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</si>
  <si>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</si>
  <si>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</si>
  <si>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</si>
  <si>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</si>
  <si>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</si>
  <si>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</si>
  <si>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</si>
  <si>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</si>
  <si>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</si>
  <si>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</si>
  <si>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</si>
  <si>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</si>
  <si>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</si>
  <si>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</si>
  <si>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</si>
  <si>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</si>
  <si>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</si>
  <si>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</si>
  <si>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</si>
  <si>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</si>
  <si>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</si>
  <si>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</si>
  <si>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</si>
  <si>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</si>
  <si>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</si>
  <si>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</si>
  <si>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</si>
  <si>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</si>
  <si>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</si>
  <si>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</si>
  <si>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</si>
  <si>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</si>
  <si>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</si>
  <si>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</si>
  <si>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</si>
  <si>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</si>
  <si>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</si>
  <si>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</si>
  <si>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</si>
  <si>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</si>
  <si>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</si>
  <si>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</si>
  <si>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</si>
  <si>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</si>
  <si>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</si>
  <si>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</si>
  <si>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</si>
  <si>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</si>
  <si>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</si>
  <si>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</si>
  <si>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</si>
  <si>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</si>
  <si>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</si>
  <si>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</si>
  <si>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</si>
  <si>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</si>
  <si>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</si>
  <si>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</si>
  <si>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</si>
  <si>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</si>
  <si>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</si>
  <si>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</si>
  <si>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</si>
  <si>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</si>
  <si>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</si>
  <si>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</si>
  <si>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</si>
  <si>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</si>
  <si>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</si>
  <si>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</si>
  <si>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</si>
  <si>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</si>
  <si>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</si>
  <si>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</si>
  <si>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</si>
  <si>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</si>
  <si>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</si>
  <si>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</si>
  <si>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</si>
  <si>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</si>
  <si>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</si>
  <si>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</si>
  <si>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</si>
  <si>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</si>
  <si>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</si>
  <si>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</si>
  <si>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</si>
  <si>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</si>
  <si>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</si>
  <si>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</si>
  <si>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</si>
  <si>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</si>
  <si>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</si>
  <si>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</si>
  <si>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</si>
  <si>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</si>
  <si>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</si>
  <si>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</si>
  <si>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</si>
  <si>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</si>
  <si>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</si>
  <si>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</si>
  <si>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</si>
  <si>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</si>
  <si>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</si>
  <si>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</si>
  <si>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</si>
  <si>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</si>
  <si>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</si>
  <si>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</si>
  <si>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</si>
  <si>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</si>
  <si>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</si>
  <si>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</si>
  <si>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</si>
  <si>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</si>
  <si>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</si>
  <si>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</si>
  <si>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</si>
  <si>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</si>
  <si>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</si>
  <si>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</si>
  <si>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</si>
  <si>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</si>
  <si>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</si>
  <si>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</si>
  <si>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</si>
  <si>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</si>
  <si>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</si>
  <si>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</si>
  <si>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</si>
  <si>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</si>
  <si>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</si>
  <si>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</si>
  <si>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</si>
  <si>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</si>
  <si>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</si>
  <si>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</si>
  <si>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</si>
  <si>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</si>
  <si>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</si>
  <si>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</si>
  <si>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</si>
  <si>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</si>
  <si>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</si>
  <si>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</si>
  <si>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</si>
  <si>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</si>
  <si>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</si>
  <si>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</si>
  <si>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</si>
  <si>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</si>
  <si>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</si>
  <si>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</si>
  <si>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</si>
  <si>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</si>
  <si>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</si>
  <si>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</si>
  <si>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</si>
  <si>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</si>
  <si>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</si>
  <si>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</si>
  <si>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</si>
  <si>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</si>
  <si>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</si>
  <si>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</si>
  <si>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</si>
  <si>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</si>
  <si>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</si>
  <si>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</si>
  <si>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</si>
  <si>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</si>
  <si>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</si>
  <si>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</si>
  <si>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</si>
  <si>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</si>
  <si>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</si>
  <si>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</si>
  <si>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</si>
  <si>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</si>
  <si>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</si>
  <si>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</si>
  <si>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</si>
  <si>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</si>
  <si>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</si>
  <si>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</si>
  <si>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</si>
  <si>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</si>
  <si>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</si>
  <si>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</si>
  <si>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</si>
  <si>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</si>
  <si>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</si>
  <si>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</si>
  <si>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</si>
  <si>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</si>
  <si>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</si>
  <si>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</si>
  <si>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</si>
  <si>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</si>
  <si>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</si>
  <si>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</si>
  <si>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</si>
  <si>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</si>
  <si>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</si>
  <si>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</si>
  <si>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</si>
  <si>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</si>
  <si>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</si>
  <si>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</si>
  <si>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</si>
  <si>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</si>
  <si>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</si>
  <si>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</si>
  <si>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</si>
  <si>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</si>
  <si>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</si>
  <si>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</si>
  <si>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</si>
  <si>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</si>
  <si>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</si>
  <si>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</si>
  <si>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</si>
  <si>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</si>
  <si>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</si>
  <si>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</si>
  <si>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</si>
  <si>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</si>
  <si>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</si>
  <si>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</si>
  <si>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</si>
  <si>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</si>
  <si>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</si>
  <si>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</si>
  <si>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</si>
  <si>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</si>
  <si>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</si>
  <si>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</si>
  <si>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</si>
  <si>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</si>
  <si>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</si>
  <si>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</si>
  <si>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</si>
  <si>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</si>
  <si>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</si>
  <si>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</si>
  <si>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</si>
  <si>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</si>
  <si>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</si>
  <si>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</si>
  <si>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</si>
  <si>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</si>
  <si>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</si>
  <si>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</si>
  <si>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</si>
  <si>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</si>
  <si>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</si>
  <si>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</si>
  <si>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</si>
  <si>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</si>
  <si>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</si>
  <si>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</si>
  <si>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</si>
  <si>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</si>
  <si>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</si>
  <si>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</si>
  <si>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</si>
  <si>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</si>
  <si>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</si>
  <si>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</si>
  <si>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</si>
  <si>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</si>
  <si>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</si>
  <si>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</si>
  <si>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</si>
  <si>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</si>
  <si>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</si>
  <si>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</si>
  <si>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</si>
  <si>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</si>
  <si>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</si>
  <si>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</si>
  <si>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</si>
  <si>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</si>
  <si>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</si>
  <si>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</si>
  <si>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</si>
  <si>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</si>
  <si>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</si>
  <si>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</si>
  <si>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</si>
  <si>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</si>
  <si>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</si>
  <si>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</si>
  <si>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</si>
  <si>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</si>
  <si>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</si>
  <si>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</si>
  <si>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</si>
  <si>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</si>
  <si>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</si>
  <si>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</si>
  <si>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</si>
  <si>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</si>
  <si>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</si>
  <si>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</si>
  <si>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</si>
  <si>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</si>
  <si>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</si>
  <si>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</si>
  <si>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</si>
  <si>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</si>
  <si>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</si>
  <si>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</si>
  <si>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</si>
  <si>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</si>
  <si>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</si>
  <si>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</si>
  <si>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</si>
  <si>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</si>
  <si>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</si>
  <si>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</si>
  <si>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</si>
  <si>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</si>
  <si>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</si>
  <si>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</si>
  <si>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</si>
  <si>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</si>
  <si>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</si>
  <si>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</si>
  <si>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</si>
  <si>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</si>
  <si>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</si>
  <si>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</si>
  <si>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</si>
  <si>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</si>
  <si>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</si>
  <si>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</si>
  <si>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</si>
  <si>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</si>
  <si>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</si>
  <si>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</si>
  <si>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</si>
  <si>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</si>
  <si>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</si>
  <si>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</si>
  <si>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</si>
  <si>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</si>
  <si>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</si>
  <si>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</si>
  <si>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</si>
  <si>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</si>
  <si>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</si>
  <si>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</si>
  <si>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</si>
  <si>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</si>
  <si>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</si>
  <si>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</si>
  <si>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</si>
  <si>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</si>
  <si>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</si>
  <si>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</si>
  <si>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</si>
  <si>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</si>
  <si>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</si>
  <si>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</si>
  <si>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</si>
  <si>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</si>
  <si>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</si>
  <si>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</si>
  <si>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</si>
  <si>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</si>
  <si>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</si>
  <si>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</si>
  <si>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</si>
  <si>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</si>
  <si>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</si>
  <si>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</si>
  <si>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</si>
  <si>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</si>
  <si>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</si>
  <si>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</si>
  <si>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</si>
  <si>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</si>
  <si>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</si>
  <si>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</si>
  <si>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</si>
  <si>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</si>
  <si>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</si>
  <si>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</si>
  <si>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</si>
  <si>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</si>
  <si>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</si>
  <si>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</si>
  <si>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</si>
  <si>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</si>
  <si>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</si>
  <si>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</si>
  <si>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</si>
  <si>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</si>
  <si>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</si>
  <si>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</si>
  <si>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</si>
  <si>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</si>
  <si>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</si>
  <si>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</si>
  <si>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</si>
  <si>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</si>
  <si>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</si>
  <si>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</si>
  <si>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</si>
  <si>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</si>
  <si>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</si>
  <si>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</si>
  <si>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</si>
  <si>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</si>
  <si>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</si>
  <si>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</si>
  <si>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</si>
  <si>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</si>
  <si>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</si>
  <si>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</si>
  <si>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</si>
  <si>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</si>
  <si>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</si>
  <si>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</si>
  <si>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</si>
  <si>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</si>
  <si>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</si>
  <si>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</si>
  <si>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</si>
  <si>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</si>
  <si>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</si>
  <si>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</si>
  <si>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</si>
  <si>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</si>
  <si>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</si>
  <si>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</si>
  <si>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</si>
  <si>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</si>
  <si>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</si>
  <si>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</si>
  <si>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</si>
  <si>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</si>
  <si>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</si>
  <si>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</si>
  <si>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</si>
  <si>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</si>
  <si>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</si>
  <si>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</si>
  <si>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</si>
  <si>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</si>
  <si>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</si>
  <si>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</si>
  <si>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</si>
  <si>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</si>
  <si>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</si>
  <si>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</si>
  <si>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</si>
  <si>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</si>
  <si>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</si>
  <si>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</si>
  <si>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</si>
  <si>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</si>
  <si>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</si>
  <si>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</si>
  <si>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</si>
  <si>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</si>
  <si>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</si>
  <si>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</si>
  <si>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</si>
  <si>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</si>
  <si>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</si>
  <si>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</si>
  <si>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</si>
  <si>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</si>
  <si>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</si>
  <si>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</si>
  <si>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</si>
  <si>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</si>
  <si>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</si>
  <si>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</si>
  <si>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</si>
  <si>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</si>
  <si>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</si>
  <si>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</si>
  <si>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</si>
  <si>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</si>
  <si>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</si>
  <si>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</si>
  <si>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</si>
  <si>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</si>
  <si>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</si>
  <si>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</si>
  <si>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</si>
  <si>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</si>
  <si>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</si>
  <si>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</si>
  <si>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</si>
  <si>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</si>
  <si>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</si>
  <si>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</si>
  <si>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</si>
  <si>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</si>
  <si>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</si>
  <si>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</si>
  <si>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</si>
  <si>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</si>
  <si>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</si>
  <si>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</si>
  <si>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</si>
  <si>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</si>
  <si>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</si>
  <si>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</si>
  <si>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</si>
  <si>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</si>
  <si>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</si>
  <si>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</si>
  <si>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</si>
  <si>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</si>
  <si>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</si>
  <si>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</si>
  <si>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</si>
  <si>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</si>
  <si>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</si>
  <si>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</si>
  <si>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</si>
  <si>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</si>
  <si>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</si>
  <si>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</si>
  <si>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</si>
  <si>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</si>
  <si>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</si>
  <si>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</si>
  <si>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</si>
  <si>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</si>
  <si>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</si>
  <si>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</si>
  <si>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</si>
  <si>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</si>
  <si>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</si>
  <si>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</si>
  <si>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</si>
  <si>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</si>
  <si>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</si>
  <si>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</si>
  <si>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</si>
  <si>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</si>
  <si>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</si>
  <si>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</si>
  <si>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</si>
  <si>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</si>
  <si>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</si>
  <si>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</si>
  <si>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</si>
  <si>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</si>
  <si>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</si>
  <si>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</si>
  <si>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</si>
  <si>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</si>
  <si>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</si>
  <si>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</si>
  <si>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</si>
  <si>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</si>
  <si>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</si>
  <si>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</si>
  <si>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</si>
  <si>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</si>
  <si>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</si>
  <si>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</si>
  <si>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</si>
  <si>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</si>
  <si>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</si>
  <si>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</si>
  <si>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</si>
  <si>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</si>
  <si>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</si>
  <si>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</si>
  <si>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</si>
  <si>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</si>
  <si>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</si>
  <si>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</si>
  <si>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</si>
  <si>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</si>
  <si>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</si>
  <si>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</si>
  <si>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</si>
  <si>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</si>
  <si>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</si>
  <si>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</si>
  <si>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</si>
  <si>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</si>
  <si>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</si>
  <si>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</si>
  <si>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</si>
  <si>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</si>
  <si>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</si>
  <si>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</si>
  <si>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</si>
  <si>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</si>
  <si>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</si>
  <si>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</si>
  <si>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</si>
  <si>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</si>
  <si>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</si>
  <si>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</si>
  <si>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</si>
  <si>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</si>
  <si>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</si>
  <si>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</si>
  <si>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</si>
  <si>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</si>
  <si>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</si>
  <si>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</si>
  <si>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</si>
  <si>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</si>
  <si>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</si>
  <si>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</si>
  <si>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</si>
  <si>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</si>
  <si>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</si>
  <si>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</si>
  <si>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</si>
  <si>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</si>
  <si>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</si>
  <si>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</si>
  <si>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</si>
  <si>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</si>
  <si>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</si>
  <si>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</si>
  <si>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</si>
  <si>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</si>
  <si>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</si>
  <si>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</si>
  <si>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</si>
  <si>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</si>
  <si>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</si>
  <si>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</si>
  <si>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</si>
  <si>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</si>
  <si>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</si>
  <si>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</si>
  <si>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</si>
  <si>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</si>
  <si>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</si>
  <si>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</si>
  <si>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</si>
  <si>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</si>
  <si>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</si>
  <si>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</si>
  <si>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</si>
  <si>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</si>
  <si>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</si>
  <si>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</si>
  <si>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</si>
  <si>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</si>
  <si>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</si>
  <si>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</si>
  <si>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</si>
  <si>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</si>
  <si>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</si>
  <si>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</si>
  <si>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</si>
  <si>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</si>
  <si>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</si>
  <si>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</si>
  <si>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</si>
  <si>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</si>
  <si>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</si>
  <si>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</si>
  <si>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</si>
  <si>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</si>
  <si>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</si>
  <si>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</si>
  <si>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</si>
  <si>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</si>
  <si>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</si>
  <si>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</si>
  <si>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</si>
  <si>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</si>
  <si>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</si>
  <si>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</si>
  <si>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</si>
  <si>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</si>
  <si>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</si>
  <si>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</si>
  <si>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</si>
  <si>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</si>
  <si>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</si>
  <si>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</si>
  <si>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</si>
  <si>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</si>
  <si>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</si>
  <si>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</si>
  <si>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</si>
  <si>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</si>
  <si>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</si>
  <si>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</si>
  <si>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</si>
  <si>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</si>
  <si>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</si>
  <si>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</si>
  <si>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</si>
  <si>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</si>
  <si>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</si>
  <si>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</si>
  <si>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</si>
  <si>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</si>
  <si>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</si>
  <si>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</si>
  <si>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</si>
  <si>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</si>
  <si>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</si>
  <si>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</si>
  <si>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</si>
  <si>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</si>
  <si>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</si>
  <si>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</si>
  <si>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</si>
  <si>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</si>
  <si>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</si>
  <si>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</si>
  <si>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</si>
  <si>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</si>
  <si>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</si>
  <si>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</si>
  <si>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</si>
  <si>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</si>
  <si>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</si>
  <si>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</si>
  <si>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</si>
  <si>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</si>
  <si>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</si>
  <si>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</si>
  <si>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</si>
  <si>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</si>
  <si>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</si>
  <si>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</si>
  <si>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</si>
  <si>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</si>
  <si>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</si>
  <si>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</si>
  <si>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</si>
  <si>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</si>
  <si>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</si>
  <si>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</si>
  <si>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</si>
  <si>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</si>
  <si>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</si>
  <si>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</si>
  <si>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</si>
  <si>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</si>
  <si>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</si>
  <si>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</si>
  <si>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</si>
  <si>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</si>
  <si>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</si>
  <si>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</si>
  <si>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</si>
  <si>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</si>
  <si>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</si>
  <si>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</si>
  <si>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</si>
  <si>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</si>
  <si>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</si>
  <si>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</si>
  <si>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</si>
  <si>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</si>
  <si>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</si>
  <si>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</si>
  <si>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</si>
  <si>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</si>
  <si>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</si>
  <si>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</si>
  <si>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</si>
  <si>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</si>
  <si>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</si>
  <si>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</si>
  <si>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</si>
  <si>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</si>
  <si>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</si>
  <si>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</si>
  <si>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</si>
  <si>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</si>
  <si>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</si>
  <si>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</si>
  <si>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</si>
  <si>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</si>
  <si>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</si>
  <si>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</si>
  <si>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</si>
  <si>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</si>
  <si>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</si>
  <si>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</si>
  <si>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</si>
  <si>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</si>
  <si>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</si>
  <si>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</si>
  <si>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</si>
  <si>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</si>
  <si>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</si>
  <si>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</si>
  <si>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</si>
  <si>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</si>
  <si>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</si>
  <si>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</si>
  <si>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</si>
  <si>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</si>
  <si>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</si>
  <si>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</si>
  <si>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</si>
  <si>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</si>
  <si>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</si>
  <si>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</si>
  <si>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</si>
  <si>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</si>
  <si>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</si>
  <si>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</si>
  <si>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</si>
  <si>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</si>
  <si>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</si>
  <si>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</si>
  <si>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</si>
  <si>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</si>
  <si>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</si>
  <si>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</si>
  <si>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</si>
  <si>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</si>
  <si>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</si>
  <si>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</si>
  <si>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</si>
  <si>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</si>
  <si>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</si>
  <si>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</si>
  <si>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</si>
  <si>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</si>
  <si>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</si>
  <si>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</si>
  <si>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</si>
  <si>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</si>
  <si>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</si>
  <si>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</si>
  <si>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</si>
  <si>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</si>
  <si>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</si>
  <si>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</si>
  <si>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</si>
  <si>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</si>
  <si>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</si>
  <si>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</si>
  <si>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</si>
  <si>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</si>
  <si>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</si>
  <si>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</si>
  <si>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</si>
  <si>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</si>
  <si>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</si>
  <si>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</si>
  <si>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</si>
  <si>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</si>
  <si>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</si>
  <si>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</si>
  <si>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</si>
  <si>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</si>
  <si>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</si>
  <si>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</si>
  <si>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</si>
  <si>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</si>
  <si>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</si>
  <si>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</si>
  <si>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</si>
  <si>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</si>
  <si>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</si>
  <si>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</si>
  <si>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</si>
  <si>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</si>
  <si>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</si>
  <si>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</si>
  <si>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</si>
  <si>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</si>
  <si>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</si>
  <si>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</si>
  <si>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</si>
  <si>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</si>
  <si>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</si>
  <si>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</si>
  <si>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</si>
  <si>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</si>
  <si>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</si>
  <si>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</si>
  <si>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</si>
  <si>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</si>
  <si>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</si>
  <si>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</si>
  <si>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</si>
  <si>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</si>
  <si>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</si>
  <si>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</si>
  <si>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</si>
  <si>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</si>
  <si>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</si>
  <si>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</si>
  <si>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</si>
  <si>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</si>
  <si>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</si>
  <si>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</si>
  <si>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</si>
  <si>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</si>
  <si>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</si>
  <si>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</si>
  <si>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</si>
  <si>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</si>
  <si>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</si>
  <si>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</si>
  <si>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</si>
  <si>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</si>
  <si>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</si>
  <si>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</si>
  <si>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</si>
  <si>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</si>
  <si>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</si>
  <si>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</si>
  <si>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</si>
  <si>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</si>
  <si>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</si>
  <si>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</si>
  <si>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</si>
  <si>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</si>
  <si>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</si>
  <si>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</si>
  <si>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</si>
  <si>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</si>
  <si>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</si>
  <si>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</si>
  <si>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</si>
  <si>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</si>
  <si>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</si>
  <si>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</si>
  <si>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</si>
  <si>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</si>
  <si>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</si>
  <si>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</si>
  <si>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</si>
  <si>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</si>
  <si>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</si>
  <si>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</si>
  <si>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</si>
  <si>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</si>
  <si>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</si>
  <si>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</si>
  <si>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</si>
  <si>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</si>
  <si>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</si>
  <si>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</si>
  <si>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</si>
  <si>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</si>
  <si>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</si>
  <si>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</si>
  <si>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</si>
  <si>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</si>
  <si>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</si>
  <si>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</si>
  <si>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</si>
  <si>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</si>
  <si>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</si>
  <si>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</si>
  <si>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</si>
  <si>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</si>
  <si>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</si>
  <si>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</si>
  <si>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</si>
  <si>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</si>
  <si>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</si>
  <si>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</si>
  <si>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</si>
  <si>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</si>
  <si>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</si>
  <si>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</si>
  <si>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</si>
  <si>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</si>
  <si>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</si>
  <si>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</si>
  <si>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</si>
  <si>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</si>
  <si>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</si>
  <si>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</si>
  <si>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</si>
  <si>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</si>
  <si>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</si>
  <si>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</si>
  <si>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</si>
  <si>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</si>
  <si>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</si>
  <si>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</si>
  <si>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</si>
  <si>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</si>
  <si>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</si>
  <si>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</si>
  <si>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</si>
  <si>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</si>
  <si>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</si>
  <si>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</si>
  <si>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</si>
  <si>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</si>
  <si>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</si>
  <si>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</si>
  <si>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</si>
  <si>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</si>
  <si>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</si>
  <si>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</si>
  <si>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</si>
  <si>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</si>
  <si>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</si>
  <si>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</si>
  <si>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</si>
  <si>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</si>
  <si>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</si>
  <si>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</si>
  <si>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</si>
  <si>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</si>
  <si>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</si>
  <si>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</si>
  <si>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</si>
  <si>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</si>
  <si>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</si>
  <si>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</si>
  <si>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</si>
  <si>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</si>
  <si>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</si>
  <si>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</si>
  <si>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</si>
  <si>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</si>
  <si>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</si>
  <si>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</si>
  <si>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</si>
  <si>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</si>
  <si>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</si>
  <si>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</si>
  <si>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</si>
  <si>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</si>
  <si>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</si>
  <si>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</si>
  <si>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</si>
  <si>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</si>
  <si>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</si>
  <si>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</si>
  <si>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</si>
  <si>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</si>
  <si>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</si>
  <si>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</si>
  <si>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</si>
  <si>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</si>
  <si>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</si>
  <si>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</si>
  <si>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</si>
  <si>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</si>
  <si>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</si>
  <si>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</si>
  <si>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</si>
  <si>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</si>
  <si>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</si>
  <si>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</si>
  <si>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</si>
  <si>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</si>
  <si>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</si>
  <si>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</si>
  <si>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</si>
  <si>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</si>
  <si>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</si>
  <si>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</si>
  <si>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</si>
  <si>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</si>
  <si>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</si>
  <si>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</si>
  <si>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</si>
  <si>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</si>
  <si>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</si>
  <si>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</si>
  <si>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</si>
  <si>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</si>
  <si>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</si>
  <si>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</si>
  <si>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</si>
  <si>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</si>
  <si>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</si>
  <si>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</si>
  <si>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</si>
  <si>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</si>
  <si>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</si>
  <si>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</si>
  <si>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</si>
  <si>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</si>
  <si>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</si>
  <si>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</si>
  <si>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</si>
  <si>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</si>
  <si>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</si>
  <si>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</si>
  <si>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</si>
  <si>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</si>
  <si>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</si>
  <si>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</si>
  <si>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</si>
  <si>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</si>
  <si>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</si>
  <si>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</si>
  <si>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</si>
  <si>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</si>
  <si>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</si>
  <si>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</si>
  <si>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</si>
  <si>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</si>
  <si>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</si>
  <si>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</si>
  <si>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</si>
  <si>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</si>
  <si>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</si>
  <si>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</si>
  <si>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</si>
  <si>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</si>
  <si>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</si>
  <si>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</si>
  <si>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</si>
  <si>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</si>
  <si>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</si>
  <si>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</si>
  <si>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</si>
  <si>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</si>
  <si>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</si>
  <si>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</si>
  <si>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</si>
  <si>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</si>
  <si>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</si>
  <si>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</si>
  <si>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</si>
  <si>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</si>
  <si>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</si>
  <si>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</si>
  <si>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</si>
  <si>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</si>
  <si>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</si>
  <si>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</si>
  <si>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</si>
  <si>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</si>
  <si>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</si>
  <si>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</si>
  <si>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</si>
  <si>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</si>
  <si>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</si>
  <si>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</si>
  <si>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</si>
  <si>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</si>
  <si>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</si>
  <si>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</si>
  <si>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</si>
  <si>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</si>
  <si>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</si>
  <si>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</si>
  <si>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</si>
  <si>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</si>
  <si>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</si>
  <si>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</si>
  <si>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</si>
  <si>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</si>
  <si>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</si>
  <si>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</si>
  <si>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</si>
  <si>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</si>
  <si>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</si>
  <si>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</si>
  <si>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</si>
  <si>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</si>
  <si>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</si>
  <si>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</si>
  <si>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</si>
  <si>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</si>
  <si>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</si>
  <si>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</si>
  <si>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</si>
  <si>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</si>
  <si>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</si>
  <si>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</si>
  <si>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</si>
  <si>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</si>
  <si>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</si>
  <si>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</si>
  <si>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</si>
  <si>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</si>
  <si>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</si>
  <si>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</si>
  <si>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</si>
  <si>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</si>
  <si>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</si>
  <si>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</si>
  <si>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</si>
  <si>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</si>
  <si>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</si>
  <si>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</si>
  <si>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</si>
  <si>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</si>
  <si>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</si>
  <si>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</si>
  <si>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</si>
  <si>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</si>
  <si>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</si>
  <si>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</si>
  <si>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</si>
  <si>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</si>
  <si>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</si>
  <si>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</si>
  <si>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</si>
  <si>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</si>
  <si>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</si>
  <si>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</si>
  <si>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</si>
  <si>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</si>
  <si>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</si>
  <si>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</si>
  <si>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</si>
  <si>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</si>
  <si>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</si>
  <si>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</si>
  <si>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</si>
  <si>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</si>
  <si>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</si>
  <si>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</si>
  <si>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</si>
  <si>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</si>
  <si>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</si>
  <si>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</si>
  <si>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</si>
  <si>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</si>
  <si>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</si>
  <si>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</si>
  <si>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</si>
  <si>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</si>
  <si>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</si>
  <si>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</si>
  <si>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</si>
  <si>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</si>
  <si>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</si>
  <si>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</si>
  <si>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</si>
  <si>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</si>
  <si>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</si>
  <si>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</si>
  <si>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</si>
  <si>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</si>
  <si>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</si>
  <si>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</si>
  <si>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</si>
  <si>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</si>
  <si>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</si>
  <si>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</si>
  <si>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</si>
  <si>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</si>
  <si>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</si>
  <si>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</si>
  <si>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</si>
  <si>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</si>
  <si>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</si>
  <si>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</si>
  <si>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</si>
  <si>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</si>
  <si>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</si>
  <si>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</si>
  <si>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</si>
  <si>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</si>
  <si>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</si>
  <si>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</si>
  <si>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</si>
  <si>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</si>
  <si>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</si>
  <si>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</si>
  <si>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</si>
  <si>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</si>
  <si>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</si>
  <si>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</si>
  <si>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</si>
  <si>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</si>
  <si>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</si>
  <si>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</si>
  <si>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</si>
  <si>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</si>
  <si>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</si>
  <si>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</si>
  <si>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</si>
  <si>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</si>
  <si>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</si>
  <si>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</si>
  <si>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</si>
  <si>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</si>
  <si>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</si>
  <si>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</si>
  <si>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</si>
  <si>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</si>
  <si>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</si>
  <si>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</si>
  <si>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</si>
  <si>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</si>
  <si>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</si>
  <si>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</si>
  <si>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</si>
  <si>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</si>
  <si>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</si>
  <si>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</si>
  <si>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</si>
  <si>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</si>
  <si>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</si>
  <si>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</si>
  <si>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</si>
  <si>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</si>
  <si>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</si>
  <si>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</si>
  <si>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</si>
  <si>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</si>
  <si>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</si>
  <si>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</si>
  <si>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</si>
  <si>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</si>
  <si>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</si>
  <si>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</si>
  <si>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</si>
  <si>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</si>
  <si>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</si>
  <si>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</si>
  <si>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</si>
  <si>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</si>
  <si>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</si>
  <si>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</si>
  <si>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</si>
  <si>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</si>
  <si>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</si>
  <si>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</si>
  <si>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</si>
  <si>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</si>
  <si>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</si>
  <si>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</si>
  <si>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</si>
  <si>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</si>
  <si>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</si>
  <si>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</si>
  <si>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</si>
  <si>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</si>
  <si>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</si>
  <si>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</si>
  <si>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</si>
  <si>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</si>
  <si>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</si>
  <si>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</si>
  <si>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</si>
  <si>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</si>
  <si>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</si>
  <si>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</si>
  <si>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</si>
  <si>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</si>
  <si>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</si>
  <si>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</si>
  <si>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</si>
  <si>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</si>
  <si>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</si>
  <si>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</si>
  <si>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</si>
  <si>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</si>
  <si>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</si>
  <si>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</si>
  <si>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</si>
  <si>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</si>
  <si>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</si>
  <si>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</si>
  <si>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</si>
  <si>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</si>
  <si>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</si>
  <si>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</si>
  <si>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</si>
  <si>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</si>
  <si>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</si>
  <si>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</si>
  <si>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</si>
  <si>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</si>
  <si>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</si>
  <si>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</si>
  <si>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</si>
  <si>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</si>
  <si>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</si>
  <si>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</si>
  <si>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</si>
  <si>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</si>
  <si>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</si>
  <si>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</si>
  <si>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</si>
  <si>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</si>
  <si>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</si>
  <si>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</si>
  <si>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</si>
  <si>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</si>
  <si>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</si>
  <si>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</si>
  <si>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</si>
  <si>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</si>
  <si>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</si>
  <si>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</si>
  <si>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</si>
  <si>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</si>
  <si>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</si>
  <si>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</si>
  <si>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</si>
  <si>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</si>
  <si>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</si>
  <si>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</si>
  <si>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</si>
  <si>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</si>
  <si>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</si>
  <si>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</si>
  <si>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</si>
  <si>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</si>
  <si>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</si>
  <si>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</si>
  <si>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</si>
  <si>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</si>
  <si>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</si>
  <si>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</si>
  <si>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</si>
  <si>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</si>
  <si>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</si>
  <si>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</si>
  <si>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</si>
  <si>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</si>
  <si>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</si>
  <si>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</si>
  <si>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</si>
  <si>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</si>
  <si>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</si>
  <si>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</si>
  <si>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</si>
  <si>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</si>
  <si>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</si>
  <si>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</si>
  <si>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</si>
  <si>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</si>
  <si>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</si>
  <si>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</si>
  <si>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</si>
  <si>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</si>
  <si>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</si>
  <si>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</si>
  <si>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</si>
  <si>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</si>
  <si>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</si>
  <si>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</si>
  <si>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</si>
  <si>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</si>
  <si>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</si>
  <si>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</si>
  <si>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</si>
  <si>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</si>
  <si>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</si>
  <si>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</si>
  <si>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</si>
  <si>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</si>
  <si>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</si>
  <si>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</si>
  <si>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</si>
  <si>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</si>
  <si>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</si>
  <si>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</si>
  <si>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</si>
  <si>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</si>
  <si>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</si>
  <si>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</si>
  <si>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</si>
  <si>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</si>
  <si>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</si>
  <si>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</si>
  <si>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</si>
  <si>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</si>
  <si>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</si>
  <si>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</si>
  <si>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</si>
  <si>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</si>
  <si>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</si>
  <si>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</si>
  <si>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</si>
  <si>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</si>
  <si>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</si>
  <si>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</si>
  <si>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</si>
  <si>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</si>
  <si>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</si>
  <si>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</si>
  <si>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</si>
  <si>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</si>
  <si>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</si>
  <si>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</si>
  <si>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</si>
  <si>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</si>
  <si>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</si>
  <si>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</si>
  <si>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</si>
  <si>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</si>
  <si>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</si>
  <si>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</si>
  <si>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</si>
  <si>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</si>
  <si>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</si>
  <si>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</si>
  <si>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</si>
  <si>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</si>
  <si>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</si>
  <si>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</si>
  <si>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</si>
  <si>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</si>
  <si>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</si>
  <si>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</si>
  <si>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</si>
  <si>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</si>
  <si>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</si>
  <si>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</si>
  <si>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</si>
  <si>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</si>
  <si>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</si>
  <si>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</si>
  <si>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</si>
  <si>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</si>
  <si>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</si>
  <si>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</si>
  <si>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</si>
  <si>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</si>
  <si>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</si>
  <si>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</si>
  <si>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</si>
  <si>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</si>
  <si>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</si>
  <si>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</si>
  <si>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</si>
  <si>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</si>
  <si>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</si>
  <si>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</si>
  <si>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</si>
  <si>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</si>
  <si>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</si>
  <si>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</si>
  <si>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</si>
  <si>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</si>
  <si>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</si>
  <si>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</si>
  <si>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</si>
  <si>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</si>
  <si>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</si>
  <si>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</si>
  <si>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</si>
  <si>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</si>
  <si>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</si>
  <si>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</si>
  <si>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</si>
  <si>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</si>
  <si>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</si>
  <si>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</si>
  <si>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</si>
  <si>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</si>
  <si>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</si>
  <si>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</si>
  <si>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</si>
  <si>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</si>
  <si>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</si>
  <si>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</si>
  <si>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</si>
  <si>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</si>
  <si>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</si>
  <si>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</si>
  <si>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</si>
  <si>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</si>
  <si>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</si>
  <si>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</si>
  <si>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</si>
  <si>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</si>
  <si>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</si>
  <si>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</si>
  <si>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</si>
  <si>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</si>
  <si>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</si>
  <si>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</si>
  <si>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</si>
  <si>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</si>
  <si>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</si>
  <si>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</si>
  <si>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</si>
  <si>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</si>
  <si>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</si>
  <si>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</si>
  <si>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</si>
  <si>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</si>
  <si>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</si>
  <si>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</si>
  <si>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</si>
  <si>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</si>
  <si>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</si>
  <si>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</si>
  <si>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</si>
  <si>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</si>
  <si>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</si>
  <si>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</si>
  <si>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</si>
  <si>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</si>
  <si>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</si>
  <si>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</si>
  <si>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</si>
  <si>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</si>
  <si>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</si>
  <si>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</si>
  <si>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</si>
  <si>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</si>
  <si>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</si>
  <si>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</si>
  <si>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</si>
  <si>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</si>
  <si>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</si>
  <si>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</si>
  <si>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</si>
  <si>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</si>
  <si>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</si>
  <si>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</si>
  <si>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</si>
  <si>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</si>
  <si>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</si>
  <si>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</si>
  <si>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</si>
  <si>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</si>
  <si>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</si>
  <si>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</si>
  <si>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</si>
  <si>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</si>
  <si>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</si>
  <si>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</si>
  <si>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</si>
  <si>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</si>
  <si>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</si>
  <si>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</si>
  <si>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</si>
  <si>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</si>
  <si>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</si>
  <si>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</si>
  <si>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</si>
  <si>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</si>
  <si>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</si>
  <si>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</si>
  <si>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</si>
  <si>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</si>
  <si>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</si>
  <si>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</si>
  <si>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</si>
  <si>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</si>
  <si>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</si>
  <si>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</si>
  <si>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</si>
  <si>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</si>
  <si>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</si>
  <si>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</si>
  <si>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</si>
  <si>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</si>
  <si>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</si>
  <si>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</si>
  <si>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</si>
  <si>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</si>
  <si>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</si>
  <si>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</si>
  <si>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</si>
  <si>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</si>
  <si>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</si>
  <si>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</si>
  <si>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</si>
  <si>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</si>
  <si>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</si>
  <si>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</si>
  <si>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</si>
  <si>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</si>
  <si>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</si>
  <si>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</si>
  <si>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</si>
  <si>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</si>
  <si>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</si>
  <si>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</si>
  <si>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</si>
  <si>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</si>
  <si>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</si>
  <si>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</si>
  <si>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</si>
  <si>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</si>
  <si>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</si>
  <si>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</si>
  <si>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</si>
  <si>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</si>
  <si>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</si>
  <si>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</si>
  <si>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</si>
  <si>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</si>
  <si>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</si>
  <si>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</si>
  <si>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</si>
  <si>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</si>
  <si>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</si>
  <si>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</si>
  <si>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</si>
  <si>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</si>
  <si>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</si>
  <si>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</si>
  <si>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</si>
  <si>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</si>
  <si>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</si>
  <si>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</si>
  <si>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</si>
  <si>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</si>
  <si>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</si>
  <si>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</si>
  <si>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</si>
  <si>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</si>
  <si>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</si>
  <si>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</si>
  <si>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</si>
  <si>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</si>
  <si>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</si>
  <si>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</si>
  <si>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</si>
  <si>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</si>
  <si>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</si>
  <si>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</si>
  <si>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</si>
  <si>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</si>
  <si>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</si>
  <si>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</si>
  <si>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</si>
  <si>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</si>
  <si>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</si>
  <si>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</si>
  <si>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</si>
  <si>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</si>
  <si>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</si>
  <si>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</si>
  <si>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</si>
  <si>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</si>
  <si>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</si>
  <si>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</si>
  <si>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</si>
  <si>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</si>
  <si>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</si>
  <si>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</si>
  <si>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</si>
  <si>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</si>
  <si>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</si>
  <si>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</si>
  <si>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</si>
  <si>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</si>
  <si>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</si>
  <si>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</si>
  <si>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</si>
  <si>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</si>
  <si>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</si>
  <si>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</si>
  <si>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</si>
  <si>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</si>
  <si>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</si>
  <si>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</si>
  <si>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</si>
  <si>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</si>
  <si>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</si>
  <si>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</si>
  <si>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</si>
  <si>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</si>
  <si>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</si>
  <si>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</si>
  <si>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</si>
  <si>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</si>
  <si>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</si>
  <si>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</si>
  <si>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</si>
  <si>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</si>
  <si>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</si>
  <si>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</si>
  <si>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</si>
  <si>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</si>
  <si>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</si>
  <si>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</si>
  <si>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</si>
  <si>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</si>
  <si>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</si>
  <si>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</si>
  <si>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</si>
  <si>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</si>
  <si>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</si>
  <si>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</si>
  <si>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</si>
  <si>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</si>
  <si>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</si>
  <si>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</si>
  <si>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</si>
  <si>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</si>
  <si>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</si>
  <si>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</si>
  <si>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</si>
  <si>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</si>
  <si>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</si>
  <si>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</si>
  <si>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</si>
  <si>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</si>
  <si>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</si>
  <si>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</si>
  <si>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</si>
  <si>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</si>
  <si>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</si>
  <si>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</si>
  <si>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</si>
  <si>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</si>
  <si>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</si>
  <si>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</si>
  <si>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</si>
  <si>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</si>
  <si>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</si>
  <si>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</si>
  <si>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</si>
  <si>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</si>
  <si>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</si>
  <si>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</si>
  <si>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</si>
  <si>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</si>
  <si>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</si>
  <si>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</si>
  <si>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</si>
  <si>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</si>
  <si>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</si>
  <si>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</si>
  <si>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</si>
  <si>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</si>
  <si>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</si>
  <si>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</si>
  <si>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</si>
  <si>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</si>
  <si>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</si>
  <si>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</si>
  <si>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</si>
  <si>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</si>
  <si>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</si>
  <si>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</si>
  <si>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</si>
  <si>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</si>
  <si>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</si>
  <si>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</si>
  <si>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</si>
  <si>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</si>
  <si>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</si>
  <si>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</si>
  <si>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</si>
  <si>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</si>
  <si>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</si>
  <si>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</si>
  <si>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</si>
  <si>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</si>
  <si>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</si>
  <si>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</si>
  <si>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</si>
  <si>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</si>
  <si>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</si>
  <si>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</si>
  <si>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</si>
  <si>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</si>
  <si>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</si>
  <si>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</si>
  <si>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</si>
  <si>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</si>
  <si>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</si>
  <si>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</si>
  <si>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</si>
  <si>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</si>
  <si>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</si>
  <si>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</si>
  <si>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</si>
  <si>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</si>
  <si>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</si>
  <si>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</si>
  <si>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</si>
  <si>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</si>
  <si>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</si>
  <si>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</si>
  <si>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</si>
  <si>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</si>
  <si>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</si>
  <si>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</si>
  <si>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</si>
  <si>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</si>
  <si>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</si>
  <si>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</si>
  <si>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</si>
  <si>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</si>
  <si>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</si>
  <si>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</si>
  <si>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</si>
  <si>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</si>
  <si>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</si>
  <si>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</si>
  <si>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</si>
  <si>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</si>
  <si>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</si>
  <si>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</si>
  <si>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</si>
  <si>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</si>
  <si>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</si>
  <si>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</si>
  <si>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</si>
  <si>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</si>
  <si>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</si>
  <si>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</si>
  <si>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</si>
  <si>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</si>
  <si>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</si>
  <si>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</si>
  <si>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</si>
  <si>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</si>
  <si>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</si>
  <si>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</si>
  <si>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</si>
  <si>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</si>
  <si>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</si>
  <si>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</si>
  <si>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</si>
  <si>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</si>
  <si>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</si>
  <si>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</si>
  <si>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</si>
  <si>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</si>
  <si>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</si>
  <si>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</si>
  <si>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</si>
  <si>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</si>
  <si>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</si>
  <si>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</si>
  <si>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</si>
  <si>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</si>
  <si>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</si>
  <si>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</si>
  <si>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</si>
  <si>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</si>
  <si>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</si>
  <si>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</si>
  <si>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</si>
  <si>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</si>
  <si>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</si>
  <si>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</si>
  <si>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</si>
  <si>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</si>
  <si>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</si>
  <si>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</si>
  <si>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</si>
  <si>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</si>
  <si>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</si>
  <si>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</si>
  <si>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</si>
  <si>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</si>
  <si>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</si>
  <si>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</si>
  <si>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</si>
  <si>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</si>
  <si>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</si>
  <si>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</si>
  <si>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</si>
  <si>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</si>
  <si>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</si>
  <si>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</si>
  <si>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</si>
  <si>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</si>
  <si>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</si>
  <si>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</si>
  <si>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</si>
  <si>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</si>
  <si>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</si>
  <si>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</si>
  <si>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</si>
  <si>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</si>
  <si>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</si>
  <si>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</si>
  <si>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</si>
  <si>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</si>
  <si>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</si>
  <si>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</si>
  <si>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</si>
  <si>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</si>
  <si>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</si>
  <si>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</si>
  <si>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</si>
  <si>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</si>
  <si>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</si>
  <si>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</si>
  <si>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</si>
  <si>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</si>
  <si>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</si>
  <si>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</si>
  <si>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</si>
  <si>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</si>
  <si>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</si>
  <si>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</si>
  <si>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</si>
  <si>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</si>
  <si>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</si>
  <si>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</si>
  <si>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</si>
  <si>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</si>
  <si>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</si>
  <si>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</si>
  <si>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</si>
  <si>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</si>
  <si>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</si>
  <si>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</si>
  <si>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</si>
  <si>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</si>
  <si>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</si>
  <si>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</si>
  <si>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</si>
  <si>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</si>
  <si>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</si>
  <si>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</si>
  <si>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</si>
  <si>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</si>
  <si>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</si>
  <si>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</si>
  <si>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</si>
  <si>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</si>
  <si>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</si>
  <si>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</si>
  <si>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</si>
  <si>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</si>
  <si>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</si>
  <si>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</si>
  <si>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</si>
  <si>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</si>
  <si>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</si>
  <si>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</si>
  <si>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</si>
  <si>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</si>
  <si>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</si>
  <si>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</si>
  <si>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</si>
  <si>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</si>
  <si>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</si>
  <si>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</si>
  <si>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</si>
  <si>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</si>
  <si>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</si>
  <si>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</si>
  <si>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</si>
  <si>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</si>
  <si>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</si>
  <si>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</si>
  <si>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</si>
  <si>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</si>
  <si>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</si>
  <si>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</si>
  <si>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</si>
  <si>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</si>
  <si>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</si>
  <si>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</si>
  <si>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</si>
  <si>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</si>
  <si>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</si>
  <si>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</si>
  <si>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</si>
  <si>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</si>
  <si>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</si>
  <si>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</si>
  <si>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</si>
  <si>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</si>
  <si>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</si>
  <si>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</si>
  <si>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</si>
  <si>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</si>
  <si>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</si>
  <si>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</si>
  <si>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</si>
  <si>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</si>
  <si>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</si>
  <si>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</si>
  <si>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</si>
  <si>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</si>
  <si>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</si>
  <si>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</si>
  <si>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</si>
  <si>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</si>
  <si>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</si>
  <si>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</si>
  <si>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</si>
  <si>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</si>
  <si>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</si>
  <si>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</si>
  <si>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</si>
  <si>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</si>
  <si>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</si>
  <si>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</si>
  <si>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</si>
  <si>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</si>
  <si>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</si>
  <si>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</si>
  <si>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</si>
  <si>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</si>
  <si>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</si>
  <si>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</si>
  <si>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</si>
  <si>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</si>
  <si>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</si>
  <si>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</si>
  <si>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</si>
  <si>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</si>
  <si>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</si>
  <si>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</si>
  <si>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</si>
  <si>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</si>
  <si>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</si>
  <si>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</si>
  <si>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</si>
  <si>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</si>
  <si>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</si>
  <si>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</si>
  <si>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</si>
  <si>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</si>
  <si>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</si>
  <si>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</si>
  <si>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</si>
  <si>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</si>
  <si>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</si>
  <si>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</si>
  <si>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</si>
  <si>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</si>
  <si>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</si>
  <si>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</si>
  <si>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</si>
  <si>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</si>
  <si>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</si>
  <si>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</si>
  <si>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</si>
  <si>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</si>
  <si>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</si>
  <si>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</si>
  <si>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</si>
  <si>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</si>
  <si>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</si>
  <si>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</si>
  <si>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</si>
  <si>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</si>
  <si>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</si>
  <si>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</si>
  <si>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</si>
  <si>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</si>
  <si>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</si>
  <si>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</si>
  <si>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</si>
  <si>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</si>
  <si>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</si>
  <si>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</si>
  <si>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</si>
  <si>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</si>
  <si>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</si>
  <si>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</si>
  <si>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</si>
  <si>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</si>
  <si>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</si>
  <si>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</si>
  <si>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</si>
  <si>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</si>
  <si>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</si>
  <si>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</si>
  <si>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</si>
  <si>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</si>
  <si>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</si>
  <si>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</si>
  <si>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</si>
  <si>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</si>
  <si>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</si>
  <si>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</si>
  <si>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</si>
  <si>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</si>
  <si>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</si>
  <si>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</si>
  <si>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</si>
  <si>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</si>
  <si>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</si>
  <si>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</si>
  <si>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</si>
  <si>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</si>
  <si>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</si>
  <si>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</si>
  <si>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</si>
  <si>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</si>
  <si>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</si>
  <si>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</si>
  <si>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</si>
  <si>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</si>
  <si>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</si>
  <si>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</si>
  <si>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</si>
  <si>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</si>
  <si>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</si>
  <si>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</si>
  <si>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</si>
  <si>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</si>
  <si>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</si>
  <si>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</si>
  <si>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</si>
  <si>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</si>
  <si>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</si>
  <si>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</si>
  <si>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</si>
  <si>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</si>
  <si>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</si>
  <si>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</si>
  <si>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</si>
  <si>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</si>
  <si>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</si>
  <si>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</si>
  <si>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</si>
  <si>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</si>
  <si>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</si>
  <si>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</si>
  <si>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</si>
  <si>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</si>
  <si>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</si>
  <si>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</si>
  <si>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</si>
  <si>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</si>
  <si>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</si>
  <si>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</si>
  <si>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</si>
  <si>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</si>
  <si>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</si>
  <si>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</si>
  <si>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</si>
  <si>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</si>
  <si>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</si>
  <si>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</si>
  <si>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</si>
  <si>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</si>
  <si>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</si>
  <si>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</si>
  <si>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</si>
  <si>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</si>
  <si>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</si>
  <si>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</si>
  <si>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</si>
  <si>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</si>
  <si>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</si>
  <si>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</si>
  <si>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</si>
  <si>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</si>
  <si>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</si>
  <si>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</si>
  <si>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</si>
  <si>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</si>
  <si>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</si>
  <si>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</si>
  <si>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</si>
  <si>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</si>
  <si>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</si>
  <si>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</si>
  <si>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</si>
  <si>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</si>
  <si>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</si>
  <si>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</si>
  <si>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</si>
  <si>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</si>
  <si>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</si>
  <si>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</si>
  <si>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</si>
  <si>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</si>
  <si>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</si>
  <si>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</si>
  <si>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</si>
  <si>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</si>
  <si>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</si>
  <si>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</si>
  <si>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</si>
  <si>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</si>
  <si>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</si>
  <si>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</si>
  <si>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</si>
  <si>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</si>
  <si>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</si>
  <si>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</si>
  <si>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</si>
  <si>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</si>
  <si>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</si>
  <si>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</si>
  <si>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</si>
  <si>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</si>
  <si>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</si>
  <si>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</si>
  <si>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</si>
  <si>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</si>
  <si>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</si>
  <si>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</si>
  <si>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</si>
  <si>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</si>
  <si>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</si>
  <si>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</si>
  <si>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</si>
  <si>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</si>
  <si>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</si>
  <si>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</si>
  <si>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</si>
  <si>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</si>
  <si>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</si>
  <si>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</si>
  <si>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</si>
  <si>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</si>
  <si>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</si>
  <si>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</si>
  <si>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</si>
  <si>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</si>
  <si>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</si>
  <si>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</si>
  <si>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</si>
  <si>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</si>
  <si>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</si>
  <si>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</si>
  <si>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</si>
  <si>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</si>
  <si>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</si>
  <si>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</si>
  <si>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</si>
  <si>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</si>
  <si>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</si>
  <si>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</si>
  <si>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</si>
  <si>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</si>
  <si>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</si>
  <si>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</si>
  <si>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</si>
  <si>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</si>
  <si>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</si>
  <si>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</si>
  <si>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</si>
  <si>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</si>
  <si>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</si>
  <si>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</si>
  <si>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</si>
  <si>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</si>
  <si>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</si>
  <si>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</si>
  <si>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</si>
  <si>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</si>
  <si>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</si>
  <si>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</si>
  <si>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</si>
  <si>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</si>
  <si>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</si>
  <si>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</si>
  <si>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</si>
  <si>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</si>
  <si>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</si>
  <si>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</si>
  <si>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</si>
  <si>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</si>
  <si>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</si>
  <si>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</si>
  <si>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</si>
  <si>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</si>
  <si>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</si>
  <si>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</si>
  <si>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</si>
  <si>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</si>
  <si>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</si>
  <si>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</si>
  <si>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</si>
  <si>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</si>
  <si>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</si>
  <si>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</si>
  <si>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</si>
  <si>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</si>
  <si>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</si>
  <si>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</si>
  <si>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</si>
  <si>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</si>
  <si>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</si>
  <si>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</si>
  <si>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</si>
  <si>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</si>
  <si>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</si>
  <si>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</si>
  <si>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</si>
  <si>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</si>
  <si>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</si>
  <si>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</si>
  <si>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</si>
  <si>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</si>
  <si>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</si>
  <si>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</si>
  <si>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</si>
  <si>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</si>
  <si>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</si>
  <si>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</si>
  <si>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</si>
  <si>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</si>
  <si>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</si>
  <si>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</si>
  <si>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</si>
  <si>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</si>
  <si>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</si>
  <si>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</si>
  <si>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</si>
  <si>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</si>
  <si>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</si>
  <si>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</si>
  <si>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</si>
  <si>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</si>
  <si>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</si>
  <si>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</si>
  <si>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</si>
  <si>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</si>
  <si>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</si>
  <si>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</si>
  <si>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</si>
  <si>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</si>
  <si>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</si>
  <si>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</si>
  <si>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</si>
  <si>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</si>
  <si>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</si>
  <si>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</si>
  <si>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</si>
  <si>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</si>
  <si>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</si>
  <si>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</si>
  <si>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</si>
  <si>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</si>
  <si>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</si>
  <si>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</si>
  <si>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</si>
  <si>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</si>
  <si>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</si>
  <si>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</si>
  <si>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</si>
  <si>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</si>
  <si>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</si>
  <si>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</si>
  <si>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</si>
  <si>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</si>
  <si>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</si>
  <si>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</si>
  <si>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</si>
  <si>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</si>
  <si>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</si>
  <si>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</si>
  <si>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</si>
  <si>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</si>
  <si>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</si>
  <si>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</si>
  <si>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</si>
  <si>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</si>
  <si>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</si>
  <si>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</si>
  <si>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</si>
  <si>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</si>
  <si>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</si>
  <si>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</si>
  <si>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</si>
  <si>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</si>
  <si>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</si>
  <si>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</si>
  <si>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</si>
  <si>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</si>
  <si>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</si>
  <si>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</si>
  <si>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</si>
  <si>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</si>
  <si>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</si>
  <si>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</si>
  <si>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</si>
  <si>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</si>
  <si>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</si>
  <si>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</si>
  <si>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</si>
  <si>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</si>
  <si>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</si>
  <si>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</si>
  <si>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</si>
  <si>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</si>
  <si>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</si>
  <si>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</si>
  <si>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</si>
  <si>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</si>
  <si>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</si>
  <si>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</si>
  <si>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</si>
  <si>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</si>
  <si>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</si>
  <si>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</si>
  <si>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</si>
  <si>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</si>
  <si>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</si>
  <si>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</si>
  <si>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</si>
  <si>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</si>
  <si>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</si>
  <si>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</si>
  <si>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</si>
  <si>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</si>
  <si>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</si>
  <si>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</si>
  <si>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</si>
  <si>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</si>
  <si>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</si>
  <si>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</si>
  <si>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</si>
  <si>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</si>
  <si>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</si>
  <si>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</si>
  <si>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</si>
  <si>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</si>
  <si>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</si>
  <si>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</si>
  <si>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</si>
  <si>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</si>
  <si>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</si>
  <si>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</si>
  <si>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</si>
  <si>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</si>
  <si>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</si>
  <si>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</si>
  <si>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</si>
  <si>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</si>
  <si>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</si>
  <si>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</si>
  <si>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</si>
  <si>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</si>
  <si>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</si>
  <si>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</si>
  <si>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</si>
  <si>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</si>
  <si>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</si>
  <si>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</si>
  <si>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</si>
  <si>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</si>
  <si>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</si>
  <si>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</si>
  <si>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</si>
  <si>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</si>
  <si>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</si>
  <si>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</si>
  <si>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</si>
  <si>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</si>
  <si>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</si>
  <si>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</si>
  <si>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</si>
  <si>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</si>
  <si>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</si>
  <si>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</si>
  <si>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</si>
  <si>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</si>
  <si>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</si>
  <si>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</si>
  <si>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</si>
  <si>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</si>
  <si>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</si>
  <si>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</si>
  <si>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</si>
  <si>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</si>
  <si>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</si>
  <si>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</si>
  <si>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</si>
  <si>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</si>
  <si>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</si>
  <si>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</si>
  <si>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</si>
  <si>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</si>
  <si>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</si>
  <si>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</si>
  <si>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</si>
  <si>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</si>
  <si>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</si>
  <si>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</si>
  <si>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</si>
  <si>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</si>
  <si>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</si>
  <si>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</si>
  <si>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</si>
  <si>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</si>
  <si>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</si>
  <si>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</si>
  <si>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</si>
  <si>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</si>
  <si>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</si>
  <si>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</si>
  <si>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</si>
  <si>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</si>
  <si>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</si>
  <si>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</si>
  <si>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</si>
  <si>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</si>
  <si>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</si>
  <si>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</si>
  <si>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</si>
  <si>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</si>
  <si>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</si>
  <si>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</si>
  <si>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</si>
  <si>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</si>
  <si>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</si>
  <si>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</si>
  <si>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</si>
  <si>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</si>
  <si>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</si>
  <si>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</si>
  <si>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</si>
  <si>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</si>
  <si>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</si>
  <si>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</si>
  <si>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</si>
  <si>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</si>
  <si>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</si>
  <si>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</si>
  <si>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</si>
  <si>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</si>
  <si>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</si>
  <si>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</si>
  <si>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</si>
  <si>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</si>
  <si>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</si>
  <si>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</si>
  <si>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</si>
  <si>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</si>
  <si>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</si>
  <si>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</si>
  <si>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</si>
  <si>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</si>
  <si>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</si>
  <si>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</si>
  <si>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</si>
  <si>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</si>
  <si>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</si>
  <si>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</si>
  <si>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</si>
  <si>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</si>
  <si>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</si>
  <si>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</si>
  <si>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</si>
  <si>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</si>
  <si>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</si>
  <si>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</si>
  <si>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</si>
  <si>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</si>
  <si>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</si>
  <si>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</si>
  <si>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</si>
  <si>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</si>
  <si>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</si>
  <si>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</si>
  <si>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</si>
  <si>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</si>
  <si>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</si>
  <si>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</si>
  <si>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</si>
  <si>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</si>
  <si>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</si>
  <si>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</si>
  <si>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</si>
  <si>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</si>
  <si>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</si>
  <si>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</si>
  <si>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</si>
  <si>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</si>
  <si>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</si>
  <si>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</si>
  <si>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</si>
  <si>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</si>
  <si>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</si>
  <si>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</si>
  <si>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</si>
  <si>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</si>
  <si>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</si>
  <si>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</si>
  <si>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</si>
  <si>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</si>
  <si>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</si>
  <si>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</si>
  <si>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</si>
  <si>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</si>
  <si>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</si>
  <si>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</si>
  <si>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</si>
  <si>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</si>
  <si>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</si>
  <si>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</si>
  <si>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</si>
  <si>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</si>
  <si>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</si>
  <si>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</si>
  <si>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</si>
  <si>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</si>
  <si>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</si>
  <si>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</si>
  <si>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</si>
  <si>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</si>
  <si>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</si>
  <si>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</si>
  <si>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</si>
  <si>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</si>
  <si>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</si>
  <si>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</si>
  <si>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</si>
  <si>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</si>
  <si>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</si>
  <si>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</si>
  <si>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</si>
  <si>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</si>
  <si>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</si>
  <si>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</si>
  <si>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</si>
  <si>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</si>
  <si>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</si>
  <si>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</si>
  <si>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</si>
  <si>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</si>
  <si>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</si>
  <si>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</si>
  <si>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</si>
  <si>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</si>
  <si>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</si>
  <si>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</si>
  <si>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</si>
  <si>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</si>
  <si>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</si>
  <si>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</si>
  <si>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</si>
  <si>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</si>
  <si>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</si>
  <si>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</si>
  <si>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</si>
  <si>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</si>
  <si>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</si>
  <si>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</si>
  <si>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</si>
  <si>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</si>
  <si>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</si>
  <si>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</si>
  <si>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</si>
  <si>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</si>
  <si>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</si>
  <si>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</si>
  <si>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</si>
  <si>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</si>
  <si>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</si>
  <si>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</si>
  <si>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</si>
  <si>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</si>
  <si>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</si>
  <si>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</si>
  <si>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</si>
  <si>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</si>
  <si>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</si>
  <si>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</si>
  <si>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</si>
  <si>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</si>
  <si>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</si>
  <si>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</si>
  <si>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</si>
  <si>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</si>
  <si>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</si>
  <si>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</si>
  <si>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</si>
  <si>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</si>
  <si>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</si>
  <si>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</si>
  <si>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</si>
  <si>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</si>
  <si>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</si>
  <si>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</si>
  <si>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</si>
  <si>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</si>
  <si>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</si>
  <si>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</si>
  <si>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</si>
  <si>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</si>
  <si>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</si>
  <si>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</si>
  <si>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</si>
  <si>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</si>
  <si>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</si>
  <si>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</si>
  <si>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</si>
  <si>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</si>
  <si>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</si>
  <si>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</si>
  <si>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</si>
  <si>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</si>
  <si>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</si>
  <si>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</si>
  <si>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</si>
  <si>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</si>
  <si>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</si>
  <si>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</si>
  <si>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</si>
  <si>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</si>
  <si>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</si>
  <si>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</si>
  <si>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</si>
  <si>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</si>
  <si>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</si>
  <si>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</si>
  <si>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</si>
  <si>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</si>
  <si>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</si>
  <si>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</si>
  <si>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</si>
  <si>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</si>
  <si>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</si>
  <si>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</si>
  <si>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</si>
  <si>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</si>
  <si>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</si>
  <si>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</si>
  <si>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</si>
  <si>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</si>
  <si>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</si>
  <si>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</si>
  <si>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</si>
  <si>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</si>
  <si>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</si>
  <si>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</si>
  <si>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</si>
  <si>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</si>
  <si>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</si>
  <si>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</si>
  <si>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</si>
  <si>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</si>
  <si>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</si>
  <si>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</si>
  <si>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</si>
  <si>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</si>
  <si>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</si>
  <si>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</si>
  <si>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</si>
  <si>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</si>
  <si>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</si>
  <si>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</si>
  <si>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</si>
  <si>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</si>
  <si>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</si>
  <si>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</si>
  <si>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</si>
  <si>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</si>
  <si>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</si>
  <si>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</si>
  <si>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</si>
  <si>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</si>
  <si>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</si>
  <si>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</si>
  <si>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</si>
  <si>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</si>
  <si>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</si>
  <si>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</si>
  <si>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</si>
  <si>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</si>
  <si>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</si>
  <si>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</si>
  <si>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</si>
  <si>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</si>
  <si>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</si>
  <si>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</si>
  <si>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</si>
  <si>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</si>
  <si>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</si>
  <si>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</si>
  <si>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</si>
  <si>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</si>
  <si>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</si>
  <si>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</si>
  <si>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</si>
  <si>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</si>
  <si>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</si>
  <si>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</si>
  <si>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</si>
  <si>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</si>
  <si>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</si>
  <si>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</si>
  <si>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</si>
  <si>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</si>
  <si>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</si>
  <si>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</si>
  <si>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</si>
  <si>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</si>
  <si>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</si>
  <si>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</si>
  <si>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</si>
  <si>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</si>
  <si>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</si>
  <si>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</si>
  <si>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</si>
  <si>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</si>
  <si>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</si>
  <si>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</si>
  <si>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</si>
  <si>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</si>
  <si>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</si>
  <si>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</si>
  <si>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</si>
  <si>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</si>
  <si>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</si>
  <si>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</si>
  <si>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</si>
  <si>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</si>
  <si>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</si>
  <si>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</si>
  <si>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</si>
  <si>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</si>
  <si>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</si>
  <si>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</si>
  <si>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</si>
  <si>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</si>
  <si>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</si>
  <si>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</si>
  <si>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</si>
  <si>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</si>
  <si>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</si>
  <si>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</si>
  <si>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</si>
  <si>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</si>
  <si>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</si>
  <si>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</si>
  <si>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</si>
  <si>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</si>
  <si>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</si>
  <si>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</si>
  <si>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</si>
  <si>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</si>
  <si>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</si>
  <si>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</si>
  <si>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</si>
  <si>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</si>
  <si>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</si>
  <si>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</si>
  <si>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</si>
  <si>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</si>
  <si>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</si>
  <si>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</si>
  <si>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</si>
  <si>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</si>
  <si>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</si>
  <si>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</si>
  <si>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</si>
  <si>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</si>
  <si>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</si>
  <si>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</si>
  <si>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</si>
  <si>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</si>
  <si>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</si>
  <si>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</si>
  <si>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</si>
  <si>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</si>
  <si>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</si>
  <si>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</si>
  <si>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</si>
  <si>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</si>
  <si>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</si>
  <si>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</si>
  <si>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</si>
  <si>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</si>
  <si>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</si>
  <si>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</si>
  <si>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</si>
  <si>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</si>
  <si>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</si>
  <si>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</si>
  <si>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</si>
  <si>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</si>
  <si>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</si>
  <si>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</si>
  <si>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</si>
  <si>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</si>
  <si>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</si>
  <si>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</si>
  <si>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</si>
  <si>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</si>
  <si>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</si>
  <si>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</si>
  <si>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</si>
  <si>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</si>
  <si>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</si>
  <si>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</si>
  <si>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</si>
  <si>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</si>
  <si>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</si>
  <si>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</si>
  <si>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</si>
  <si>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</si>
  <si>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</si>
  <si>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</si>
  <si>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</si>
  <si>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</si>
  <si>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</si>
  <si>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</si>
  <si>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</si>
  <si>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</si>
  <si>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</si>
  <si>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</si>
  <si>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</si>
  <si>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</si>
  <si>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</si>
  <si>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</si>
  <si>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</si>
  <si>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</si>
  <si>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</si>
  <si>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</si>
  <si>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</si>
  <si>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</si>
  <si>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</si>
  <si>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</si>
  <si>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</si>
  <si>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</si>
  <si>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</si>
  <si>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</si>
  <si>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</si>
  <si>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</si>
  <si>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</si>
  <si>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</si>
  <si>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</si>
  <si>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</si>
  <si>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</si>
  <si>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</si>
  <si>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</si>
  <si>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</si>
  <si>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</si>
  <si>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</si>
  <si>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</si>
  <si>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</si>
  <si>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</si>
  <si>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</si>
  <si>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</si>
  <si>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</si>
  <si>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</si>
  <si>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</si>
  <si>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</si>
  <si>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</si>
  <si>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</si>
  <si>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</si>
  <si>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</si>
  <si>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</si>
  <si>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</si>
  <si>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</si>
  <si>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</si>
  <si>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</si>
  <si>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</si>
  <si>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</si>
  <si>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</si>
  <si>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</si>
  <si>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</si>
  <si>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</si>
  <si>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</si>
  <si>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</si>
  <si>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</si>
  <si>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</si>
  <si>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</si>
  <si>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</si>
  <si>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</si>
  <si>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</si>
  <si>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</si>
  <si>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</si>
  <si>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</si>
  <si>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</si>
  <si>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</si>
  <si>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</si>
  <si>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</si>
  <si>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</si>
  <si>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</si>
  <si>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</si>
  <si>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</si>
  <si>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</si>
  <si>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</si>
  <si>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</si>
  <si>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</si>
  <si>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</si>
  <si>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</si>
  <si>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</si>
  <si>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</si>
  <si>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</si>
  <si>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</si>
  <si>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</si>
  <si>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</si>
  <si>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</si>
  <si>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</si>
  <si>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</si>
  <si>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</si>
  <si>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</si>
  <si>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</si>
  <si>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</si>
  <si>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</si>
  <si>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</si>
  <si>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</si>
  <si>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</si>
  <si>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</si>
  <si>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</si>
  <si>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</si>
  <si>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</si>
  <si>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</si>
  <si>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</si>
  <si>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</si>
  <si>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</si>
  <si>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</si>
  <si>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</si>
  <si>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</si>
  <si>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</si>
  <si>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</si>
  <si>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</si>
  <si>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</si>
  <si>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</si>
  <si>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</si>
  <si>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</si>
  <si>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</si>
  <si>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</si>
  <si>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</si>
  <si>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</si>
  <si>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</si>
  <si>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</si>
  <si>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</si>
  <si>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</si>
  <si>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</si>
  <si>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</si>
  <si>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</si>
  <si>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</si>
  <si>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</si>
  <si>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</si>
  <si>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</si>
  <si>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</si>
  <si>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</si>
  <si>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</si>
  <si>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</si>
  <si>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</si>
  <si>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</si>
  <si>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</si>
  <si>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</si>
  <si>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</si>
  <si>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</si>
  <si>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</si>
  <si>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</si>
  <si>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</si>
  <si>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</si>
  <si>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</si>
  <si>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</si>
  <si>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</si>
  <si>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</si>
  <si>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</si>
  <si>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</si>
  <si>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</si>
  <si>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</si>
  <si>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</si>
  <si>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</si>
  <si>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</si>
  <si>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</si>
  <si>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</si>
  <si>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</si>
  <si>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</si>
  <si>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</si>
  <si>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</si>
  <si>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</si>
  <si>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</si>
  <si>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</si>
  <si>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</si>
  <si>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</si>
  <si>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</si>
  <si>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</si>
  <si>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</si>
  <si>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</si>
  <si>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</si>
  <si>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</si>
  <si>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</si>
  <si>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</si>
  <si>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</si>
  <si>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</si>
  <si>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</si>
  <si>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</si>
  <si>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</si>
  <si>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</si>
  <si>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</si>
  <si>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</si>
  <si>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</si>
  <si>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</si>
  <si>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</si>
  <si>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</si>
  <si>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</si>
  <si>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</si>
  <si>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</si>
  <si>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</si>
  <si>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</si>
  <si>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</si>
  <si>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</si>
  <si>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</si>
  <si>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</si>
  <si>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</si>
  <si>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</si>
  <si>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</si>
  <si>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</si>
  <si>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</si>
  <si>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</si>
  <si>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</si>
  <si>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</si>
  <si>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</si>
  <si>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</si>
  <si>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</si>
  <si>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</si>
  <si>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</si>
  <si>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</si>
  <si>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</si>
  <si>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</si>
  <si>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</si>
  <si>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</si>
  <si>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</si>
  <si>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</si>
  <si>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</si>
  <si>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</si>
  <si>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</si>
  <si>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</si>
  <si>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</si>
  <si>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</si>
  <si>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</si>
  <si>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</si>
  <si>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</si>
  <si>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</si>
  <si>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</si>
  <si>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</si>
  <si>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</si>
  <si>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</si>
  <si>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</si>
  <si>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</si>
  <si>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</si>
  <si>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</si>
  <si>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</si>
  <si>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</si>
  <si>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</si>
  <si>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</si>
  <si>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</si>
  <si>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</si>
  <si>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</si>
  <si>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</si>
  <si>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</si>
  <si>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</si>
  <si>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</si>
  <si>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</si>
  <si>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</si>
  <si>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</si>
  <si>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</si>
  <si>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</si>
  <si>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</si>
  <si>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</si>
  <si>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</si>
  <si>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</si>
  <si>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</si>
  <si>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</si>
  <si>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</si>
  <si>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</si>
  <si>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</si>
  <si>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</si>
  <si>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</si>
  <si>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</si>
  <si>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</si>
  <si>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</si>
  <si>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</si>
  <si>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</si>
  <si>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</si>
  <si>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</si>
  <si>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</si>
  <si>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</si>
  <si>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</si>
  <si>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</si>
  <si>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</si>
  <si>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</si>
  <si>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</si>
  <si>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</si>
  <si>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</si>
  <si>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</si>
  <si>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</si>
  <si>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</si>
  <si>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</si>
  <si>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</si>
  <si>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</si>
  <si>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</si>
  <si>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</si>
  <si>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</si>
  <si>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</si>
  <si>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</si>
  <si>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</si>
  <si>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</si>
  <si>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</si>
  <si>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</si>
  <si>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</si>
  <si>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</si>
  <si>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</si>
  <si>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</si>
  <si>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</si>
  <si>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</si>
  <si>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</si>
  <si>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</si>
  <si>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</si>
  <si>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</si>
  <si>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</si>
  <si>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</si>
  <si>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</si>
  <si>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</si>
  <si>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</si>
  <si>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</si>
  <si>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</si>
  <si>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</si>
  <si>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</si>
  <si>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</si>
  <si>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</si>
  <si>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</si>
  <si>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</si>
  <si>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</si>
  <si>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</si>
  <si>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</si>
  <si>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</si>
  <si>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</si>
  <si>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</si>
  <si>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</si>
  <si>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</si>
  <si>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</si>
  <si>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</si>
  <si>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</si>
  <si>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</si>
  <si>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</si>
  <si>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</si>
  <si>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</si>
  <si>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</si>
  <si>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</si>
  <si>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</si>
  <si>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</si>
  <si>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</si>
  <si>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</si>
  <si>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</si>
  <si>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</si>
  <si>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</si>
  <si>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</si>
  <si>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</si>
  <si>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</si>
  <si>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</si>
  <si>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</si>
  <si>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</si>
  <si>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</si>
  <si>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</si>
  <si>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</si>
  <si>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</si>
  <si>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</si>
  <si>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</si>
  <si>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</si>
  <si>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</si>
  <si>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</si>
  <si>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</si>
  <si>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</si>
  <si>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</si>
  <si>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</si>
  <si>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</si>
  <si>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</si>
  <si>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</si>
  <si>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</si>
  <si>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</si>
  <si>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</si>
  <si>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</si>
  <si>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</si>
  <si>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</si>
  <si>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</si>
  <si>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</si>
  <si>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</si>
  <si>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</si>
  <si>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</si>
  <si>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</si>
  <si>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</si>
  <si>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</si>
  <si>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</si>
  <si>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</si>
  <si>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</si>
  <si>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</si>
  <si>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</si>
  <si>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</si>
  <si>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</si>
  <si>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</si>
  <si>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</si>
  <si>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</si>
  <si>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</si>
  <si>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</si>
  <si>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</si>
  <si>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</si>
  <si>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</si>
  <si>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</si>
  <si>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</si>
  <si>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</si>
  <si>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</si>
  <si>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</si>
  <si>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</si>
  <si>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</si>
  <si>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</si>
  <si>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</si>
  <si>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</si>
  <si>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</si>
  <si>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</si>
  <si>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</si>
  <si>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</si>
  <si>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</si>
  <si>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</si>
  <si>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</si>
  <si>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</si>
  <si>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</si>
  <si>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</si>
  <si>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</si>
  <si>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</si>
  <si>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</si>
  <si>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</si>
  <si>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</si>
  <si>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</si>
  <si>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</si>
  <si>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</si>
  <si>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</si>
  <si>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</si>
  <si>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</si>
  <si>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</si>
  <si>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</si>
  <si>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</si>
  <si>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</si>
  <si>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</si>
  <si>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</si>
  <si>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</si>
  <si>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</si>
  <si>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</si>
  <si>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</si>
  <si>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</si>
  <si>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</si>
  <si>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</si>
  <si>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</si>
  <si>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</si>
  <si>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</si>
  <si>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</si>
  <si>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</si>
  <si>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</si>
  <si>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</si>
  <si>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</si>
  <si>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</si>
  <si>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</si>
  <si>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</si>
  <si>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</si>
  <si>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</si>
  <si>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</si>
  <si>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</si>
  <si>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</si>
  <si>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</si>
  <si>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</si>
  <si>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</si>
  <si>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</si>
  <si>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</si>
  <si>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</si>
  <si>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</si>
  <si>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</si>
  <si>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</si>
  <si>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</si>
  <si>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</si>
  <si>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</si>
  <si>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</si>
  <si>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</si>
  <si>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</si>
  <si>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</si>
  <si>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</si>
  <si>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</si>
  <si>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</si>
  <si>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</si>
  <si>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</si>
  <si>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</si>
  <si>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</si>
  <si>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</si>
  <si>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</si>
  <si>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</si>
  <si>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</si>
  <si>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</si>
  <si>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</si>
  <si>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</si>
  <si>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</si>
  <si>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</si>
  <si>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</si>
  <si>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</si>
  <si>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</si>
  <si>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</si>
  <si>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</si>
  <si>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</si>
  <si>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</si>
  <si>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</si>
  <si>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</si>
  <si>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</si>
  <si>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</si>
  <si>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</si>
  <si>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</si>
  <si>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</si>
  <si>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</si>
  <si>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</si>
  <si>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</si>
  <si>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</si>
  <si>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</si>
  <si>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</si>
  <si>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</si>
  <si>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</si>
  <si>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</si>
  <si>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</si>
  <si>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</si>
  <si>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</si>
  <si>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</si>
  <si>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</si>
  <si>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</si>
  <si>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</si>
  <si>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</si>
  <si>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</si>
  <si>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</si>
  <si>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</si>
  <si>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</si>
  <si>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</si>
  <si>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</si>
  <si>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</si>
  <si>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</si>
  <si>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</si>
  <si>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</si>
  <si>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</si>
  <si>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</si>
  <si>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</si>
  <si>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</si>
  <si>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</si>
  <si>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</si>
  <si>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</si>
  <si>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</si>
  <si>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</si>
  <si>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</si>
  <si>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</si>
  <si>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</si>
  <si>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</si>
  <si>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</si>
  <si>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</si>
  <si>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</si>
  <si>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</si>
  <si>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</si>
  <si>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</si>
  <si>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</si>
  <si>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</si>
  <si>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</si>
  <si>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</si>
  <si>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</si>
  <si>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</si>
  <si>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</si>
  <si>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</si>
  <si>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</si>
  <si>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</si>
  <si>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</si>
  <si>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</si>
  <si>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</si>
  <si>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</si>
  <si>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</si>
  <si>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</si>
  <si>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</si>
  <si>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</si>
  <si>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</si>
  <si>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</si>
  <si>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</si>
  <si>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</si>
  <si>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</si>
  <si>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</si>
  <si>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</si>
  <si>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</si>
  <si>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</si>
  <si>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</si>
  <si>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</si>
  <si>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</si>
  <si>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</si>
  <si>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</si>
  <si>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</si>
  <si>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</si>
  <si>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</si>
  <si>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</si>
  <si>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</si>
  <si>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</si>
  <si>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</si>
  <si>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</si>
  <si>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</si>
  <si>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</si>
  <si>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</si>
  <si>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</si>
  <si>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</si>
  <si>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</si>
  <si>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</si>
  <si>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</si>
  <si>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</si>
  <si>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</si>
  <si>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</si>
  <si>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</si>
  <si>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</si>
  <si>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</si>
  <si>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</si>
  <si>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</si>
  <si>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</si>
  <si>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</si>
  <si>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</si>
  <si>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</si>
  <si>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</si>
  <si>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</si>
  <si>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</si>
  <si>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</si>
  <si>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</si>
  <si>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</si>
  <si>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</si>
  <si>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</si>
  <si>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</si>
  <si>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</si>
  <si>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</si>
  <si>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</si>
  <si>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</si>
  <si>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</si>
  <si>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</si>
  <si>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</si>
  <si>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</si>
  <si>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</si>
  <si>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</si>
  <si>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</si>
  <si>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</si>
  <si>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</si>
  <si>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</si>
  <si>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</si>
  <si>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</si>
  <si>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</si>
  <si>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</si>
  <si>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</si>
  <si>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</si>
  <si>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</si>
  <si>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</si>
  <si>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</si>
  <si>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</si>
  <si>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</si>
  <si>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</si>
  <si>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</si>
  <si>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</si>
  <si>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</si>
  <si>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</si>
  <si>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</si>
  <si>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</si>
  <si>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</si>
  <si>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</si>
  <si>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</si>
  <si>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</si>
  <si>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</si>
  <si>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</si>
  <si>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</si>
  <si>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</si>
  <si>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</si>
  <si>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</si>
  <si>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</si>
  <si>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</si>
  <si>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</si>
  <si>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</si>
  <si>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</si>
  <si>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</si>
  <si>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</si>
  <si>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</si>
  <si>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</si>
  <si>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</si>
  <si>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</si>
  <si>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</si>
  <si>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</si>
  <si>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</si>
  <si>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</si>
  <si>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</si>
  <si>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</si>
  <si>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</si>
  <si>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</si>
  <si>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</si>
  <si>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</si>
  <si>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</si>
  <si>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</si>
  <si>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</si>
  <si>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</si>
  <si>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</si>
  <si>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</si>
  <si>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</si>
  <si>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</si>
  <si>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</si>
  <si>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</si>
  <si>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</si>
  <si>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</si>
  <si>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</si>
  <si>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</si>
  <si>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</si>
  <si>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</si>
  <si>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</si>
  <si>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</si>
  <si>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</si>
  <si>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</si>
  <si>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</si>
  <si>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</si>
  <si>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</si>
  <si>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</si>
  <si>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</si>
  <si>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</si>
  <si>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</si>
  <si>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</si>
  <si>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</si>
  <si>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</si>
  <si>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</si>
  <si>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</si>
  <si>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</si>
  <si>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</si>
  <si>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</si>
  <si>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</si>
  <si>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</si>
  <si>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</si>
  <si>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</si>
  <si>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</si>
  <si>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</si>
  <si>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</si>
  <si>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</si>
  <si>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</si>
  <si>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</si>
  <si>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</si>
  <si>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</si>
  <si>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</si>
  <si>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</si>
  <si>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</si>
  <si>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</si>
  <si>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</si>
  <si>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</si>
  <si>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</si>
  <si>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</si>
  <si>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</si>
  <si>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</si>
  <si>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</si>
  <si>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</si>
  <si>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</si>
  <si>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</si>
  <si>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</si>
  <si>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</si>
  <si>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</si>
  <si>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</si>
  <si>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</si>
  <si>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</si>
  <si>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</si>
  <si>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</si>
  <si>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</si>
  <si>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</si>
  <si>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</si>
  <si>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</si>
  <si>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</si>
  <si>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</si>
  <si>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</si>
  <si>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</si>
  <si>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</si>
  <si>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</si>
  <si>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</si>
  <si>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</si>
  <si>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</si>
  <si>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</si>
  <si>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</si>
  <si>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</si>
  <si>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</si>
  <si>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</si>
  <si>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</si>
  <si>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</si>
  <si>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</si>
  <si>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</si>
  <si>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</si>
  <si>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</si>
  <si>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</si>
  <si>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</si>
  <si>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</si>
  <si>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</si>
  <si>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</si>
  <si>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</si>
  <si>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</si>
  <si>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</si>
  <si>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</si>
  <si>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</si>
  <si>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</si>
  <si>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</si>
  <si>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</si>
  <si>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</si>
  <si>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</si>
  <si>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</si>
  <si>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</si>
  <si>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</si>
  <si>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</si>
  <si>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</si>
  <si>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</si>
  <si>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</si>
  <si>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</si>
  <si>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</si>
  <si>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</si>
  <si>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</si>
  <si>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</si>
  <si>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</si>
  <si>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</si>
  <si>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</si>
  <si>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</si>
  <si>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</si>
  <si>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</si>
  <si>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</si>
  <si>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</si>
  <si>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</si>
  <si>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</si>
  <si>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</si>
  <si>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</si>
  <si>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</si>
  <si>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</si>
  <si>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</si>
  <si>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</si>
  <si>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</si>
  <si>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</si>
  <si>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</si>
  <si>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</si>
  <si>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</si>
  <si>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</si>
  <si>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</si>
  <si>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</si>
  <si>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</si>
  <si>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</si>
  <si>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</si>
  <si>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</si>
  <si>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</si>
  <si>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</si>
  <si>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</si>
  <si>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</si>
  <si>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</si>
  <si>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</si>
  <si>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</si>
  <si>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</si>
  <si>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</si>
  <si>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</si>
  <si>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</si>
  <si>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</si>
  <si>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</si>
  <si>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</si>
  <si>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</si>
  <si>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</si>
  <si>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</si>
  <si>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</si>
  <si>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</si>
  <si>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</si>
  <si>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</si>
  <si>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</si>
  <si>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</si>
  <si>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</si>
  <si>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</si>
  <si>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</si>
  <si>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</si>
  <si>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</si>
  <si>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</si>
  <si>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</si>
  <si>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</si>
  <si>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</si>
  <si>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</si>
  <si>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</si>
  <si>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</si>
  <si>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</si>
  <si>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</si>
  <si>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</si>
  <si>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</si>
  <si>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</si>
  <si>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</si>
  <si>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</si>
  <si>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</si>
  <si>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</si>
  <si>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</si>
  <si>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</si>
  <si>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</si>
  <si>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</si>
  <si>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</si>
  <si>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</si>
  <si>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</si>
  <si>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</si>
  <si>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</si>
  <si>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</si>
  <si>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</si>
  <si>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</si>
  <si>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</si>
  <si>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</si>
  <si>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</si>
  <si>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</si>
  <si>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</si>
  <si>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</si>
  <si>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</si>
  <si>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</si>
  <si>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</si>
  <si>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</si>
  <si>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</si>
  <si>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</si>
  <si>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</si>
  <si>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</si>
  <si>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</si>
  <si>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</si>
  <si>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</si>
  <si>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</si>
  <si>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</si>
  <si>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</si>
  <si>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</si>
  <si>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</si>
  <si>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</si>
  <si>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</si>
  <si>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</si>
  <si>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</si>
  <si>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</si>
  <si>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</si>
  <si>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</si>
  <si>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</si>
  <si>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</si>
  <si>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</si>
  <si>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</si>
  <si>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</si>
  <si>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</si>
  <si>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</si>
  <si>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</si>
  <si>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</si>
  <si>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</si>
  <si>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</si>
  <si>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</si>
  <si>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</si>
  <si>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</si>
  <si>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</si>
  <si>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</si>
  <si>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</si>
  <si>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</si>
  <si>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</si>
  <si>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</si>
  <si>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</si>
  <si>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</si>
  <si>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</si>
  <si>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</si>
  <si>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</si>
  <si>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</si>
  <si>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</si>
  <si>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</si>
  <si>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</si>
  <si>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</si>
  <si>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</si>
  <si>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</si>
  <si>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</si>
  <si>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</si>
  <si>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</si>
  <si>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</si>
  <si>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</si>
  <si>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</si>
  <si>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</si>
  <si>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</si>
  <si>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</si>
  <si>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</si>
  <si>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</si>
  <si>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</si>
  <si>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</si>
  <si>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</si>
  <si>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</si>
  <si>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</si>
  <si>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</si>
  <si>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</si>
  <si>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</si>
  <si>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</si>
  <si>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</si>
  <si>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</si>
  <si>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</si>
  <si>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</si>
  <si>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</si>
  <si>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</si>
  <si>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</si>
  <si>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</si>
  <si>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</si>
  <si>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</si>
  <si>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</si>
  <si>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</si>
  <si>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</si>
  <si>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</si>
  <si>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</si>
  <si>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</si>
  <si>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</si>
  <si>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</si>
  <si>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</si>
  <si>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</si>
  <si>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</si>
  <si>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</si>
  <si>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</si>
  <si>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</si>
  <si>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</si>
  <si>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</si>
  <si>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</si>
  <si>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</si>
  <si>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</si>
  <si>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</si>
  <si>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</si>
  <si>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</si>
  <si>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</si>
  <si>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</si>
  <si>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</si>
  <si>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</si>
  <si>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</si>
  <si>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</si>
  <si>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</si>
  <si>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</si>
  <si>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</si>
  <si>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</si>
  <si>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</si>
  <si>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</si>
  <si>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</si>
  <si>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</si>
  <si>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</si>
  <si>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</si>
  <si>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</si>
  <si>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</si>
  <si>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</si>
  <si>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</si>
  <si>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</si>
  <si>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</si>
  <si>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</si>
  <si>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</si>
  <si>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</si>
  <si>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</si>
  <si>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</si>
  <si>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</si>
  <si>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</si>
  <si>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</si>
  <si>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</si>
  <si>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</si>
  <si>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</si>
  <si>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</si>
  <si>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</si>
  <si>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</si>
  <si>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</si>
  <si>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</si>
  <si>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</si>
  <si>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</si>
  <si>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</si>
  <si>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</si>
  <si>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</si>
  <si>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</si>
  <si>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</si>
  <si>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</si>
  <si>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</si>
  <si>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</si>
  <si>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</si>
  <si>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</si>
  <si>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</si>
  <si>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</si>
  <si>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</si>
  <si>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</si>
  <si>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</si>
  <si>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</si>
  <si>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</si>
  <si>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</si>
  <si>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</si>
  <si>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</si>
  <si>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</si>
  <si>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</si>
  <si>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</si>
  <si>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</si>
  <si>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</si>
  <si>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</si>
  <si>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</si>
  <si>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</si>
  <si>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</si>
  <si>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</si>
  <si>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</si>
  <si>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</si>
  <si>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</si>
  <si>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</si>
  <si>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</si>
  <si>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</si>
  <si>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</si>
  <si>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</si>
  <si>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</si>
  <si>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</si>
  <si>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</si>
  <si>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</si>
  <si>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</si>
  <si>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</si>
  <si>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</si>
  <si>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</si>
  <si>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</si>
  <si>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</si>
  <si>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</si>
  <si>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</si>
  <si>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</si>
  <si>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</si>
  <si>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</si>
  <si>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</si>
  <si>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</si>
  <si>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</si>
  <si>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</si>
  <si>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</si>
  <si>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</si>
  <si>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</si>
  <si>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</si>
  <si>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</si>
  <si>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</si>
  <si>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</si>
  <si>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</si>
  <si>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</si>
  <si>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</si>
  <si>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</si>
  <si>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</si>
  <si>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</si>
  <si>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</si>
  <si>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</si>
  <si>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</si>
  <si>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</si>
  <si>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</si>
  <si>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</si>
  <si>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</si>
  <si>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</si>
  <si>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</si>
  <si>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</si>
  <si>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</si>
  <si>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</si>
  <si>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</si>
  <si>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</si>
  <si>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</si>
  <si>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</si>
  <si>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</si>
  <si>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</si>
  <si>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</si>
  <si>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</si>
  <si>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</si>
  <si>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</si>
  <si>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</si>
  <si>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</si>
  <si>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</si>
  <si>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</si>
  <si>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</si>
  <si>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</si>
  <si>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</si>
  <si>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</si>
  <si>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</si>
  <si>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</si>
  <si>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</si>
  <si>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</si>
  <si>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</si>
  <si>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</si>
  <si>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</si>
  <si>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</si>
  <si>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</si>
  <si>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</si>
  <si>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</si>
  <si>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</si>
  <si>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</si>
  <si>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</si>
  <si>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</si>
  <si>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</si>
  <si>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</si>
  <si>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</si>
  <si>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</si>
  <si>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</si>
  <si>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</si>
  <si>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</si>
  <si>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</si>
  <si>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</si>
  <si>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</si>
  <si>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</si>
  <si>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</si>
  <si>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</si>
  <si>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</si>
  <si>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</si>
  <si>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</si>
  <si>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</si>
  <si>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</si>
  <si>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</si>
  <si>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</si>
  <si>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</si>
  <si>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</si>
  <si>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</si>
  <si>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</si>
  <si>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</si>
  <si>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</si>
  <si>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</si>
  <si>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</si>
  <si>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</si>
  <si>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</si>
  <si>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</si>
  <si>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</si>
  <si>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</si>
  <si>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</si>
  <si>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</si>
  <si>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</si>
  <si>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</si>
  <si>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</si>
  <si>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</si>
  <si>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</si>
  <si>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</si>
  <si>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</si>
  <si>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</si>
  <si>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</si>
  <si>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</si>
  <si>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</si>
  <si>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</si>
  <si>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</si>
  <si>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</si>
  <si>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</si>
  <si>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</si>
  <si>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</si>
  <si>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</si>
  <si>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</si>
  <si>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</si>
  <si>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</si>
  <si>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</si>
  <si>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</si>
  <si>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</si>
  <si>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</si>
  <si>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</si>
  <si>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</si>
  <si>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</si>
  <si>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</si>
  <si>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</si>
  <si>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</si>
  <si>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</si>
  <si>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</si>
  <si>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</si>
  <si>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</si>
  <si>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</si>
  <si>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</si>
  <si>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</si>
  <si>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</si>
  <si>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</si>
  <si>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</si>
  <si>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</si>
  <si>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</si>
  <si>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</si>
  <si>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</si>
  <si>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</si>
  <si>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</si>
  <si>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</si>
  <si>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</si>
  <si>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</si>
  <si>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</si>
  <si>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</si>
  <si>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</si>
  <si>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</si>
  <si>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</si>
  <si>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</si>
  <si>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</si>
  <si>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</si>
  <si>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</si>
  <si>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</si>
  <si>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</si>
  <si>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</si>
  <si>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</si>
  <si>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</si>
  <si>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</si>
  <si>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</si>
  <si>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</si>
  <si>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</si>
  <si>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</si>
  <si>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</si>
  <si>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</si>
  <si>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</si>
  <si>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</si>
  <si>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</si>
  <si>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</si>
  <si>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</si>
  <si>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</si>
  <si>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</si>
  <si>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</si>
  <si>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</si>
  <si>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</si>
  <si>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</si>
  <si>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</si>
  <si>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</si>
  <si>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</si>
  <si>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</si>
  <si>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</si>
  <si>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</si>
  <si>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</si>
  <si>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</si>
  <si>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</si>
  <si>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</si>
  <si>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</si>
  <si>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</si>
  <si>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</si>
  <si>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</si>
  <si>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</si>
  <si>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</si>
  <si>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</si>
  <si>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</si>
  <si>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</si>
  <si>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</si>
  <si>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</si>
  <si>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</si>
  <si>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</si>
  <si>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</si>
  <si>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</si>
  <si>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</si>
  <si>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</si>
  <si>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</si>
  <si>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</si>
  <si>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</si>
  <si>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</si>
  <si>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</si>
  <si>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</si>
  <si>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</si>
  <si>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</si>
  <si>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</si>
  <si>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</si>
  <si>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</si>
  <si>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</si>
  <si>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</si>
  <si>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</si>
  <si>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</si>
  <si>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</si>
  <si>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</si>
  <si>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</si>
  <si>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</si>
  <si>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</si>
  <si>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</si>
  <si>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</si>
  <si>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</si>
  <si>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</si>
  <si>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</si>
  <si>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</si>
  <si>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</si>
  <si>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</si>
  <si>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</si>
  <si>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</si>
  <si>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</si>
  <si>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</si>
  <si>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</si>
  <si>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</si>
  <si>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</si>
  <si>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</si>
  <si>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</si>
  <si>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</si>
  <si>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</si>
  <si>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</si>
  <si>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</si>
  <si>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</si>
  <si>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</si>
  <si>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</si>
  <si>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</si>
  <si>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</si>
  <si>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</si>
  <si>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</si>
  <si>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</si>
  <si>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</si>
  <si>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</si>
  <si>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</si>
  <si>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</si>
  <si>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</si>
  <si>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</si>
  <si>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</si>
  <si>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</si>
  <si>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</si>
  <si>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</si>
  <si>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</si>
  <si>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</si>
  <si>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</si>
  <si>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</si>
  <si>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</si>
  <si>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</si>
  <si>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</si>
  <si>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</si>
  <si>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</si>
  <si>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</si>
  <si>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</si>
  <si>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</si>
  <si>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</si>
  <si>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</si>
  <si>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</si>
  <si>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</si>
  <si>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</si>
  <si>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</si>
  <si>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</si>
  <si>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</si>
  <si>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</si>
  <si>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</si>
  <si>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</si>
  <si>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</si>
  <si>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</si>
  <si>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</si>
  <si>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</si>
  <si>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</si>
  <si>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</si>
  <si>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</si>
  <si>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</si>
  <si>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</si>
  <si>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</si>
  <si>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</si>
  <si>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</si>
  <si>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</si>
  <si>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</si>
  <si>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</si>
  <si>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</si>
  <si>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</si>
  <si>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</si>
  <si>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</si>
  <si>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</si>
  <si>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</si>
  <si>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</si>
  <si>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</si>
  <si>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</si>
  <si>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</si>
  <si>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</si>
  <si>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</si>
  <si>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</si>
  <si>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</si>
  <si>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</si>
  <si>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</si>
  <si>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</si>
  <si>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</si>
  <si>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</si>
  <si>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</si>
  <si>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</si>
  <si>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</si>
  <si>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</si>
  <si>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</si>
  <si>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</si>
  <si>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</si>
  <si>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</si>
  <si>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</si>
  <si>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</si>
  <si>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</si>
  <si>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</si>
  <si>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</si>
  <si>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</si>
  <si>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</si>
  <si>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</si>
  <si>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</si>
  <si>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</si>
  <si>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</si>
  <si>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</si>
  <si>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</si>
  <si>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</si>
  <si>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</si>
  <si>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</si>
  <si>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</si>
  <si>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</si>
  <si>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</si>
  <si>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</si>
  <si>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</si>
  <si>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</si>
  <si>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</si>
  <si>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</si>
  <si>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</si>
  <si>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</si>
  <si>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</si>
  <si>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</si>
  <si>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</si>
  <si>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</si>
  <si>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</si>
  <si>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</si>
  <si>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</si>
  <si>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</si>
  <si>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</si>
  <si>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</si>
  <si>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</si>
  <si>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</si>
  <si>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</si>
  <si>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</si>
  <si>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</si>
  <si>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</si>
  <si>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</si>
  <si>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</si>
  <si>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</si>
  <si>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</si>
  <si>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</si>
  <si>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</si>
  <si>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</si>
  <si>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</si>
  <si>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</si>
  <si>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</si>
  <si>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</si>
  <si>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</si>
  <si>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</si>
  <si>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</si>
  <si>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</si>
  <si>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</si>
  <si>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</si>
  <si>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</si>
  <si>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</si>
  <si>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</si>
  <si>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</si>
  <si>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</si>
  <si>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</si>
  <si>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</si>
  <si>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</si>
  <si>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</si>
  <si>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</si>
  <si>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</si>
  <si>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</si>
  <si>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</si>
  <si>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</si>
  <si>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</si>
  <si>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</si>
  <si>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</si>
  <si>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</si>
  <si>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</si>
  <si>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</si>
  <si>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</si>
  <si>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</si>
  <si>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</si>
  <si>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</si>
  <si>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</si>
  <si>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</si>
  <si>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</si>
  <si>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</si>
  <si>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</si>
  <si>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</si>
  <si>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</si>
  <si>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</si>
  <si>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</si>
  <si>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</si>
  <si>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</si>
  <si>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</si>
  <si>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</si>
  <si>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</si>
  <si>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</si>
  <si>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</si>
  <si>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</si>
  <si>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</si>
  <si>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</si>
  <si>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</si>
  <si>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</si>
  <si>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</si>
  <si>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</si>
  <si>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</si>
  <si>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</si>
  <si>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</si>
  <si>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</si>
  <si>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</si>
  <si>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</si>
  <si>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</si>
  <si>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</si>
  <si>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</si>
  <si>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</si>
  <si>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</si>
  <si>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</si>
  <si>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</si>
  <si>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</si>
  <si>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</si>
  <si>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</si>
  <si>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</si>
  <si>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</si>
  <si>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</si>
  <si>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</si>
  <si>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</si>
  <si>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</si>
  <si>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</si>
  <si>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</si>
  <si>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</si>
  <si>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</si>
  <si>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</si>
  <si>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</si>
  <si>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</si>
  <si>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</si>
  <si>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</si>
  <si>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</si>
  <si>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</si>
  <si>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</si>
  <si>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</si>
  <si>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</si>
  <si>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</si>
  <si>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</si>
  <si>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</si>
  <si>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</si>
  <si>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</si>
  <si>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</si>
  <si>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</si>
  <si>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</si>
  <si>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</si>
  <si>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</si>
  <si>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</si>
  <si>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</si>
  <si>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</si>
  <si>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</si>
  <si>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</si>
  <si>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</si>
  <si>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</si>
  <si>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</si>
  <si>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</si>
  <si>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</si>
  <si>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</si>
  <si>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</si>
  <si>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</si>
  <si>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</si>
  <si>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</si>
  <si>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</si>
  <si>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</si>
  <si>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</si>
  <si>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</si>
  <si>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</si>
  <si>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</si>
  <si>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</si>
  <si>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</si>
  <si>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</si>
  <si>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</si>
  <si>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</si>
  <si>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</si>
  <si>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</si>
  <si>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</si>
  <si>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</si>
  <si>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</si>
  <si>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</si>
  <si>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</si>
  <si>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</si>
  <si>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</si>
  <si>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</si>
  <si>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</si>
  <si>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</si>
  <si>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</si>
  <si>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</si>
  <si>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</si>
  <si>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</si>
  <si>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</si>
  <si>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</si>
  <si>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</si>
  <si>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</si>
  <si>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</si>
  <si>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</si>
  <si>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</si>
  <si>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</si>
  <si>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</si>
  <si>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</si>
  <si>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</si>
  <si>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</si>
  <si>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</si>
  <si>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</si>
  <si>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</si>
  <si>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</si>
  <si>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</si>
  <si>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</si>
  <si>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</si>
  <si>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</si>
  <si>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</si>
  <si>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</si>
  <si>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</si>
  <si>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</si>
  <si>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</si>
  <si>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</si>
  <si>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</si>
  <si>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</si>
  <si>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</si>
  <si>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</si>
  <si>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</si>
  <si>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</si>
  <si>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</si>
  <si>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</si>
  <si>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</si>
  <si>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</si>
  <si>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</si>
  <si>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</si>
  <si>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</si>
  <si>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</si>
  <si>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</si>
  <si>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</si>
  <si>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</si>
  <si>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</si>
  <si>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</si>
  <si>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</si>
  <si>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</si>
  <si>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</si>
  <si>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</si>
  <si>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</si>
  <si>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</si>
  <si>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</si>
  <si>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</si>
  <si>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</si>
  <si>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</si>
  <si>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</si>
  <si>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</si>
  <si>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</si>
  <si>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</si>
  <si>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</si>
  <si>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</si>
  <si>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</si>
  <si>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</si>
  <si>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</si>
  <si>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</si>
  <si>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</si>
  <si>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</si>
  <si>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</si>
  <si>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</si>
  <si>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</si>
  <si>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</si>
  <si>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</si>
  <si>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</si>
  <si>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</si>
  <si>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</si>
  <si>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</si>
  <si>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</si>
  <si>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</si>
  <si>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</si>
  <si>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</si>
  <si>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</si>
  <si>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</si>
  <si>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</si>
  <si>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</si>
  <si>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</si>
  <si>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</si>
  <si>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</si>
  <si>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</si>
  <si>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</si>
  <si>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</si>
  <si>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</si>
  <si>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</si>
  <si>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</si>
  <si>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</si>
  <si>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</si>
  <si>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</si>
  <si>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</si>
  <si>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</si>
  <si>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</si>
  <si>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</si>
  <si>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</si>
  <si>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</si>
  <si>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</si>
  <si>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</si>
  <si>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</si>
  <si>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</si>
  <si>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</si>
  <si>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</si>
  <si>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</si>
  <si>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</si>
  <si>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</si>
  <si>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</si>
  <si>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</si>
  <si>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</si>
  <si>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</si>
  <si>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</si>
  <si>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</si>
  <si>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</si>
  <si>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</si>
  <si>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</si>
  <si>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</si>
  <si>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</si>
  <si>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</si>
  <si>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</si>
  <si>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</si>
  <si>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</si>
  <si>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</si>
  <si>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</si>
  <si>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</si>
  <si>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</si>
  <si>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</si>
  <si>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</si>
  <si>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</si>
  <si>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</si>
  <si>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</si>
  <si>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</si>
  <si>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</si>
  <si>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</si>
  <si>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</si>
  <si>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</si>
  <si>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</si>
  <si>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</si>
  <si>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</si>
  <si>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</si>
  <si>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</si>
  <si>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</si>
  <si>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</si>
  <si>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</si>
  <si>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</si>
  <si>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</si>
  <si>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</si>
  <si>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</si>
  <si>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</si>
  <si>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</si>
  <si>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</si>
  <si>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</si>
  <si>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</si>
  <si>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</si>
  <si>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</si>
  <si>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</si>
  <si>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</si>
  <si>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</si>
  <si>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</si>
  <si>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</si>
  <si>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</si>
  <si>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</si>
  <si>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</si>
  <si>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</si>
  <si>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</si>
  <si>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</si>
  <si>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</si>
  <si>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</si>
  <si>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</si>
  <si>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</si>
  <si>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</si>
  <si>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</si>
  <si>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</si>
  <si>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</si>
  <si>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</si>
  <si>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</si>
  <si>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</si>
  <si>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</si>
  <si>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</si>
  <si>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</si>
  <si>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</si>
  <si>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</si>
  <si>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</si>
  <si>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</si>
  <si>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</si>
  <si>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</si>
  <si>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</si>
  <si>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</si>
  <si>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</si>
  <si>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</si>
  <si>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</si>
  <si>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</si>
  <si>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</si>
  <si>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</si>
  <si>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</si>
  <si>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</si>
  <si>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</si>
  <si>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</si>
  <si>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</si>
  <si>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</si>
  <si>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</si>
  <si>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</si>
  <si>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</si>
  <si>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</si>
  <si>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</si>
  <si>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</si>
  <si>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</si>
  <si>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</si>
  <si>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</si>
  <si>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</si>
  <si>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</si>
  <si>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</si>
  <si>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</si>
  <si>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</si>
  <si>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</si>
  <si>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</si>
  <si>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</si>
  <si>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</si>
  <si>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</si>
  <si>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</si>
  <si>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</si>
  <si>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</si>
  <si>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</si>
  <si>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</si>
  <si>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</si>
  <si>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</si>
  <si>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</si>
  <si>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</si>
  <si>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</si>
  <si>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</si>
  <si>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</si>
  <si>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</si>
  <si>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</si>
  <si>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</si>
  <si>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</si>
  <si>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</si>
  <si>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</si>
  <si>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</si>
  <si>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</si>
  <si>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</si>
  <si>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</si>
  <si>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</si>
  <si>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</si>
  <si>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</si>
  <si>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</si>
  <si>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</si>
  <si>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</si>
  <si>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</si>
  <si>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</si>
  <si>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</si>
  <si>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</si>
  <si>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</si>
  <si>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</si>
  <si>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</si>
  <si>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</si>
  <si>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</si>
  <si>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</si>
  <si>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</si>
  <si>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</si>
  <si>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</si>
  <si>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</si>
  <si>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</si>
  <si>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</si>
  <si>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</si>
  <si>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</si>
  <si>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</si>
  <si>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</si>
  <si>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</si>
  <si>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</si>
  <si>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</si>
  <si>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</si>
  <si>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</si>
  <si>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</si>
  <si>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</si>
  <si>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</si>
  <si>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</si>
  <si>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</si>
  <si>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</si>
  <si>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</si>
  <si>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</si>
  <si>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</si>
  <si>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</si>
  <si>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</si>
  <si>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</si>
  <si>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</si>
  <si>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</si>
  <si>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</si>
  <si>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</si>
  <si>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</si>
  <si>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</si>
  <si>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</si>
  <si>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</si>
  <si>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</si>
  <si>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</si>
  <si>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</si>
  <si>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</si>
  <si>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</si>
  <si>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</si>
  <si>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</si>
  <si>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</si>
  <si>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</si>
  <si>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</si>
  <si>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</si>
  <si>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</si>
  <si>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</si>
  <si>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</si>
  <si>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</si>
  <si>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</si>
  <si>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</si>
  <si>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</si>
  <si>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</si>
  <si>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</si>
  <si>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</si>
  <si>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</si>
  <si>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</si>
  <si>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</si>
  <si>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</si>
  <si>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</si>
  <si>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</si>
  <si>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</si>
  <si>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</si>
  <si>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</si>
  <si>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</si>
  <si>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</si>
  <si>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</si>
  <si>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</si>
  <si>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</si>
  <si>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</si>
  <si>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</si>
  <si>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</si>
  <si>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</si>
  <si>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</si>
  <si>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</si>
  <si>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</si>
  <si>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</si>
  <si>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</si>
  <si>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</si>
  <si>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</si>
  <si>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</si>
  <si>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</si>
  <si>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</si>
  <si>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</si>
  <si>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</si>
  <si>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</si>
  <si>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</si>
  <si>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</si>
  <si>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</si>
  <si>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</si>
  <si>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</si>
  <si>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</si>
  <si>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</si>
  <si>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</si>
  <si>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</si>
  <si>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</si>
  <si>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</si>
  <si>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</si>
  <si>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</si>
  <si>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</si>
  <si>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</si>
  <si>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</si>
  <si>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</si>
  <si>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</si>
  <si>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</si>
  <si>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</si>
  <si>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</si>
  <si>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</si>
  <si>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</si>
  <si>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</si>
  <si>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</si>
  <si>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</si>
  <si>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</si>
  <si>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</si>
  <si>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</si>
  <si>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</si>
  <si>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</si>
  <si>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</si>
  <si>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</si>
  <si>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</si>
  <si>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</si>
  <si>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</si>
  <si>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</si>
  <si>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</si>
  <si>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</si>
  <si>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</si>
  <si>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</si>
  <si>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</si>
  <si>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</si>
  <si>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</si>
  <si>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</si>
  <si>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</si>
  <si>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</si>
  <si>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</si>
  <si>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</si>
  <si>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</si>
  <si>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</si>
  <si>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</si>
  <si>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</si>
  <si>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</si>
  <si>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</si>
  <si>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</si>
  <si>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</si>
  <si>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</si>
  <si>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</si>
  <si>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</si>
  <si>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</si>
  <si>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</si>
  <si>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</si>
  <si>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</si>
  <si>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</si>
  <si>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</si>
  <si>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</si>
  <si>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</si>
  <si>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</si>
  <si>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</si>
  <si>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</si>
  <si>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</si>
  <si>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</si>
  <si>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</si>
  <si>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</si>
  <si>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</si>
  <si>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</si>
  <si>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</si>
  <si>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</si>
  <si>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</si>
  <si>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</si>
  <si>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</si>
  <si>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</si>
  <si>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</si>
  <si>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</si>
  <si>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</si>
  <si>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</si>
  <si>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</si>
  <si>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</si>
  <si>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</si>
  <si>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</si>
  <si>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</si>
  <si>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</si>
  <si>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</si>
  <si>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</si>
  <si>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</si>
  <si>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</si>
  <si>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</si>
  <si>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</si>
  <si>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</si>
  <si>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</si>
  <si>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</si>
  <si>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</si>
  <si>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</si>
  <si>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</si>
  <si>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</si>
  <si>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</si>
  <si>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</si>
  <si>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</si>
  <si>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</si>
  <si>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</si>
  <si>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</si>
  <si>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</si>
  <si>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</si>
  <si>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</si>
  <si>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</si>
  <si>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</si>
  <si>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</si>
  <si>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</si>
  <si>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</si>
  <si>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</si>
  <si>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</si>
  <si>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</si>
  <si>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</si>
  <si>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</si>
  <si>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</si>
  <si>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</si>
  <si>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</si>
  <si>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</si>
  <si>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</si>
  <si>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</si>
  <si>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</si>
  <si>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</si>
  <si>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</si>
  <si>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</si>
  <si>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</si>
  <si>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</si>
  <si>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</si>
  <si>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</si>
  <si>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</si>
  <si>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</si>
  <si>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</si>
  <si>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</si>
  <si>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</si>
  <si>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</si>
  <si>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</si>
  <si>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</si>
  <si>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</si>
  <si>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</si>
  <si>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</si>
  <si>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</si>
  <si>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</si>
  <si>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</si>
  <si>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</si>
  <si>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</si>
  <si>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</si>
  <si>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</si>
  <si>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</si>
  <si>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</si>
  <si>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</si>
  <si>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</si>
  <si>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</si>
  <si>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</si>
  <si>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</si>
  <si>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</si>
  <si>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</si>
  <si>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</si>
  <si>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</si>
  <si>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</si>
  <si>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</si>
  <si>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</si>
  <si>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</si>
  <si>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</si>
  <si>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</si>
  <si>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</si>
  <si>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</si>
  <si>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</si>
  <si>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</si>
  <si>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</si>
  <si>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</si>
  <si>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</si>
  <si>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</si>
  <si>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</si>
  <si>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</si>
  <si>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</si>
  <si>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</si>
  <si>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</si>
  <si>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</si>
  <si>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</si>
  <si>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</si>
  <si>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</si>
  <si>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</si>
  <si>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</si>
  <si>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</si>
  <si>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</si>
  <si>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</si>
  <si>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</si>
  <si>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</si>
  <si>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</si>
  <si>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</si>
  <si>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</si>
  <si>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</si>
  <si>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</si>
  <si>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</si>
  <si>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</si>
  <si>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</si>
  <si>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</si>
  <si>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</si>
  <si>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</si>
  <si>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</si>
  <si>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</si>
  <si>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</si>
  <si>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</si>
  <si>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</si>
  <si>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</si>
  <si>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</si>
  <si>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</si>
  <si>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</si>
  <si>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</si>
  <si>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</si>
  <si>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</si>
  <si>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</si>
  <si>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</si>
  <si>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</si>
  <si>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</si>
  <si>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</si>
  <si>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</si>
  <si>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</si>
  <si>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</si>
  <si>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</si>
  <si>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</si>
  <si>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</si>
  <si>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</si>
  <si>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</si>
  <si>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</si>
  <si>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</si>
  <si>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</si>
  <si>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</si>
  <si>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</si>
  <si>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</si>
  <si>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</si>
  <si>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</si>
  <si>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</si>
  <si>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</si>
  <si>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</si>
  <si>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</si>
  <si>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</si>
  <si>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</si>
  <si>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</si>
  <si>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</si>
  <si>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</si>
  <si>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</si>
  <si>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</si>
  <si>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</si>
  <si>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</si>
  <si>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</si>
  <si>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</si>
  <si>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</si>
  <si>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</si>
  <si>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</si>
  <si>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</si>
  <si>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</si>
  <si>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</si>
  <si>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</si>
  <si>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</si>
  <si>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</si>
  <si>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</si>
  <si>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</si>
  <si>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</si>
  <si>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</si>
  <si>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</si>
  <si>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</si>
  <si>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</si>
  <si>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</si>
  <si>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</si>
  <si>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</si>
  <si>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</si>
  <si>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</si>
  <si>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</si>
  <si>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</si>
  <si>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</si>
  <si>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</si>
  <si>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</si>
  <si>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</si>
  <si>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</si>
  <si>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</si>
  <si>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</si>
  <si>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</si>
  <si>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</si>
  <si>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</si>
  <si>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</si>
  <si>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</si>
  <si>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</si>
  <si>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</si>
  <si>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</si>
  <si>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</si>
  <si>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</si>
  <si>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</si>
  <si>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</si>
  <si>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</si>
  <si>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</si>
  <si>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</si>
  <si>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</si>
  <si>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</si>
  <si>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</si>
  <si>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</si>
  <si>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</si>
  <si>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</si>
  <si>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</si>
  <si>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</si>
  <si>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</si>
  <si>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</si>
  <si>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</si>
  <si>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</si>
  <si>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</si>
  <si>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</si>
  <si>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</si>
  <si>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</si>
  <si>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</si>
  <si>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</si>
  <si>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</si>
  <si>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</si>
  <si>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</si>
  <si>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</si>
  <si>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</si>
  <si>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</si>
  <si>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</si>
  <si>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</si>
  <si>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</si>
  <si>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</si>
  <si>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</si>
  <si>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</si>
  <si>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</si>
  <si>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</si>
  <si>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</si>
  <si>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</si>
  <si>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</si>
  <si>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</si>
  <si>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</si>
  <si>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</si>
  <si>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</si>
  <si>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</si>
  <si>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</si>
  <si>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</si>
  <si>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</si>
  <si>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</si>
  <si>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</si>
  <si>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</si>
  <si>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</si>
  <si>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</si>
  <si>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</si>
  <si>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</si>
  <si>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</si>
  <si>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</si>
  <si>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</si>
  <si>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</si>
  <si>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</si>
  <si>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</si>
  <si>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</si>
  <si>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</si>
  <si>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</si>
  <si>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</si>
  <si>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</si>
  <si>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</si>
  <si>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</si>
  <si>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</si>
  <si>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</si>
  <si>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</si>
  <si>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</si>
  <si>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</si>
  <si>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</si>
  <si>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</si>
  <si>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</si>
  <si>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</si>
  <si>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</si>
  <si>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</si>
  <si>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</si>
  <si>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</si>
  <si>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</si>
  <si>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</si>
  <si>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</si>
  <si>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</si>
  <si>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</si>
  <si>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</si>
  <si>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</si>
  <si>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</si>
  <si>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</si>
  <si>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</si>
  <si>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</si>
  <si>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</si>
  <si>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</si>
  <si>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</si>
  <si>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</si>
  <si>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</si>
  <si>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</si>
  <si>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</si>
  <si>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</si>
  <si>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</si>
  <si>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</si>
  <si>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</si>
  <si>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</si>
  <si>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</si>
  <si>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</si>
  <si>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</si>
  <si>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</si>
  <si>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</si>
  <si>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</si>
  <si>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</si>
  <si>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</si>
  <si>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</si>
  <si>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</si>
  <si>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</si>
  <si>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</si>
  <si>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</si>
  <si>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</si>
  <si>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</si>
  <si>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</si>
  <si>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</si>
  <si>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</si>
  <si>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</si>
  <si>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</si>
  <si>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</si>
  <si>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</si>
  <si>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</si>
  <si>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</si>
  <si>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</si>
  <si>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</si>
  <si>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</si>
  <si>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</si>
  <si>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</si>
  <si>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</si>
  <si>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</si>
  <si>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</si>
  <si>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</si>
  <si>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</si>
  <si>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</si>
  <si>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</si>
  <si>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</si>
  <si>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</si>
  <si>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</si>
  <si>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</si>
  <si>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</si>
  <si>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</si>
  <si>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</si>
  <si>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</si>
  <si>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</si>
  <si>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</si>
  <si>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</si>
  <si>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</si>
  <si>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</si>
  <si>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</si>
  <si>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</si>
  <si>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</si>
  <si>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</si>
  <si>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</si>
  <si>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</si>
  <si>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</si>
  <si>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</si>
  <si>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</si>
  <si>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</si>
  <si>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</si>
  <si>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</si>
  <si>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</si>
  <si>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</si>
  <si>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</si>
  <si>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</si>
  <si>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</si>
  <si>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</si>
  <si>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</si>
  <si>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</si>
  <si>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</si>
  <si>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</si>
  <si>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</si>
  <si>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</si>
  <si>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</si>
  <si>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</si>
  <si>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</si>
  <si>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</si>
  <si>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</si>
  <si>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</si>
  <si>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</si>
  <si>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</si>
  <si>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</si>
  <si>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</si>
  <si>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</si>
  <si>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</si>
  <si>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</si>
  <si>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</si>
  <si>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</si>
  <si>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</si>
  <si>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</si>
  <si>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</si>
  <si>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</si>
  <si>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</si>
  <si>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</si>
  <si>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</si>
  <si>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</si>
  <si>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</si>
  <si>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</si>
  <si>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</si>
  <si>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</si>
  <si>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</si>
  <si>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</si>
  <si>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</si>
  <si>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</si>
  <si>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</si>
  <si>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</si>
  <si>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</si>
  <si>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</si>
  <si>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</si>
  <si>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</si>
  <si>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</si>
  <si>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</si>
  <si>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</si>
  <si>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</si>
  <si>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</si>
  <si>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</si>
  <si>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</si>
  <si>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</si>
  <si>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</si>
  <si>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</si>
  <si>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</si>
  <si>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</si>
  <si>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</si>
  <si>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</si>
  <si>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</si>
  <si>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</si>
  <si>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</si>
  <si>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</si>
  <si>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</si>
  <si>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</si>
  <si>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</si>
  <si>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</si>
  <si>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</si>
  <si>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</si>
  <si>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</si>
  <si>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</si>
  <si>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</si>
  <si>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</si>
  <si>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</si>
  <si>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</si>
  <si>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</si>
  <si>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</si>
  <si>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</si>
  <si>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</si>
  <si>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</si>
  <si>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</si>
  <si>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</si>
  <si>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</si>
  <si>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</si>
  <si>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</si>
  <si>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</si>
  <si>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</si>
  <si>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</si>
  <si>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</si>
  <si>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</si>
  <si>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</si>
  <si>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</si>
  <si>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</si>
  <si>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</si>
  <si>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</si>
  <si>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</si>
  <si>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</si>
  <si>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</si>
  <si>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</si>
  <si>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</si>
  <si>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</si>
  <si>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</si>
  <si>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</si>
  <si>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</si>
  <si>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</si>
  <si>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</si>
  <si>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</si>
  <si>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</si>
  <si>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</si>
  <si>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</si>
  <si>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</si>
  <si>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</si>
  <si>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</si>
  <si>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</si>
  <si>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</si>
  <si>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</si>
  <si>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</si>
  <si>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</si>
  <si>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</si>
  <si>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</si>
  <si>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</si>
  <si>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</si>
  <si>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</si>
  <si>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</si>
  <si>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</si>
  <si>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</si>
  <si>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</si>
  <si>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</si>
  <si>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</si>
  <si>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</si>
  <si>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</si>
  <si>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</si>
  <si>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</si>
  <si>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</si>
  <si>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</si>
  <si>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</si>
  <si>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</si>
  <si>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</si>
  <si>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</si>
  <si>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</si>
  <si>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</si>
  <si>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</si>
  <si>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</si>
  <si>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</si>
  <si>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</si>
  <si>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</si>
  <si>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</si>
  <si>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</si>
  <si>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</si>
  <si>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</si>
  <si>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</si>
  <si>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</si>
  <si>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</si>
  <si>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</si>
  <si>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</si>
  <si>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</si>
  <si>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</si>
  <si>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</si>
  <si>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</si>
  <si>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</si>
  <si>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</si>
  <si>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</si>
  <si>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</si>
  <si>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</si>
  <si>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</si>
  <si>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</si>
  <si>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</si>
  <si>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</si>
  <si>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</si>
  <si>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</si>
  <si>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</si>
  <si>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</si>
  <si>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</si>
  <si>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</si>
  <si>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</si>
  <si>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</si>
  <si>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</si>
  <si>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</si>
  <si>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</si>
  <si>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</si>
  <si>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</si>
  <si>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</si>
  <si>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</si>
  <si>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</si>
  <si>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</si>
  <si>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</si>
  <si>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</si>
  <si>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</si>
  <si>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</si>
  <si>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</si>
  <si>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</si>
  <si>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</si>
  <si>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</si>
  <si>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</si>
  <si>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</si>
  <si>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</si>
  <si>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</si>
  <si>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</si>
  <si>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</si>
  <si>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</si>
  <si>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</si>
  <si>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</si>
  <si>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</si>
  <si>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</si>
  <si>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</si>
  <si>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</si>
  <si>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</si>
  <si>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</si>
  <si>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</si>
  <si>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</si>
  <si>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</si>
  <si>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</si>
  <si>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</si>
  <si>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</si>
  <si>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</si>
  <si>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</si>
  <si>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</si>
  <si>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</si>
  <si>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</si>
  <si>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</si>
  <si>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</si>
  <si>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</si>
  <si>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</si>
  <si>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</si>
  <si>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</si>
  <si>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</si>
  <si>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</si>
  <si>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</si>
  <si>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</si>
  <si>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</si>
  <si>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</si>
  <si>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</si>
  <si>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</si>
  <si>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</si>
  <si>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</si>
  <si>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</si>
  <si>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</si>
  <si>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</si>
  <si>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</si>
  <si>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</si>
  <si>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</si>
  <si>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</si>
  <si>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</si>
  <si>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</si>
  <si>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</si>
  <si>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</si>
  <si>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</si>
  <si>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</si>
  <si>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</si>
  <si>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</si>
  <si>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</si>
  <si>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</si>
  <si>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</si>
  <si>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</si>
  <si>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</si>
  <si>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</si>
  <si>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</si>
  <si>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</si>
  <si>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</si>
  <si>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</si>
  <si>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</si>
  <si>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</si>
  <si>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</si>
  <si>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</si>
  <si>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</si>
  <si>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</si>
  <si>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</si>
  <si>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</si>
  <si>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</si>
  <si>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</si>
  <si>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</si>
  <si>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</si>
  <si>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</si>
  <si>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</si>
  <si>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</si>
  <si>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</si>
  <si>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</si>
  <si>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</si>
  <si>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</si>
  <si>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</si>
  <si>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</si>
  <si>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</si>
  <si>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</si>
  <si>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</si>
  <si>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</si>
  <si>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</si>
  <si>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</si>
  <si>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</si>
  <si>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</si>
  <si>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</si>
  <si>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</si>
  <si>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</si>
  <si>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</si>
  <si>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</si>
  <si>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</si>
  <si>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</si>
  <si>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</si>
  <si>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</si>
  <si>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</si>
  <si>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</si>
  <si>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</si>
  <si>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</si>
  <si>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</si>
  <si>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</si>
  <si>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</si>
  <si>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</si>
  <si>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</si>
  <si>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</si>
  <si>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</si>
  <si>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</si>
  <si>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</si>
  <si>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</si>
  <si>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</si>
  <si>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</si>
  <si>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</si>
  <si>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</si>
  <si>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</si>
  <si>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</si>
  <si>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</si>
  <si>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</si>
  <si>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</si>
  <si>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</si>
  <si>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</si>
  <si>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</si>
  <si>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</si>
  <si>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</si>
  <si>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</si>
  <si>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</si>
  <si>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</si>
  <si>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</si>
  <si>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</si>
  <si>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</si>
  <si>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</si>
  <si>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</si>
  <si>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</si>
  <si>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</si>
  <si>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</si>
  <si>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</si>
  <si>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</si>
  <si>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</si>
  <si>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</si>
  <si>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</si>
  <si>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</si>
  <si>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</si>
  <si>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</si>
  <si>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</si>
  <si>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</si>
  <si>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</si>
  <si>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</si>
  <si>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</si>
  <si>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</si>
  <si>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</si>
  <si>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</si>
  <si>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</si>
  <si>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</si>
  <si>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</si>
  <si>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</si>
  <si>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</si>
  <si>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</si>
  <si>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</si>
  <si>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</si>
  <si>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</si>
  <si>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</si>
  <si>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</si>
  <si>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</si>
  <si>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</si>
  <si>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</si>
  <si>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</si>
  <si>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</si>
  <si>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</si>
  <si>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</si>
  <si>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</si>
  <si>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</si>
  <si>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</si>
  <si>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</si>
  <si>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</si>
  <si>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</si>
  <si>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</si>
  <si>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</si>
  <si>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</si>
  <si>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</si>
  <si>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</si>
  <si>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</si>
  <si>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</si>
  <si>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</si>
  <si>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</si>
  <si>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</si>
  <si>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</si>
  <si>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</si>
  <si>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</si>
  <si>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</si>
  <si>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</si>
  <si>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</si>
  <si>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</si>
  <si>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</si>
  <si>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</si>
  <si>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</si>
  <si>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</si>
  <si>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</si>
  <si>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</si>
  <si>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</si>
  <si>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</si>
  <si>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</si>
  <si>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</si>
  <si>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</si>
  <si>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</si>
  <si>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</si>
  <si>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</si>
  <si>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</si>
  <si>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</si>
  <si>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</si>
  <si>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</si>
  <si>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</si>
  <si>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</si>
  <si>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</si>
  <si>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</si>
  <si>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</si>
  <si>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</si>
  <si>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</si>
  <si>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</si>
  <si>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</si>
  <si>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</si>
  <si>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</si>
  <si>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</si>
  <si>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</si>
  <si>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</si>
  <si>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</si>
  <si>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</si>
  <si>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</si>
  <si>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</si>
  <si>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</si>
  <si>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</si>
  <si>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</si>
  <si>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</si>
  <si>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</si>
  <si>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</si>
  <si>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</si>
  <si>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</si>
  <si>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</si>
  <si>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</si>
  <si>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</si>
  <si>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</si>
  <si>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</si>
  <si>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</si>
  <si>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</si>
  <si>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</si>
  <si>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</si>
  <si>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</si>
  <si>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</si>
  <si>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</si>
  <si>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</si>
  <si>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</si>
  <si>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</si>
  <si>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</si>
  <si>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</si>
  <si>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</si>
  <si>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</si>
  <si>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</si>
  <si>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</si>
  <si>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</si>
  <si>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</si>
  <si>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</si>
  <si>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</si>
  <si>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</si>
  <si>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</si>
  <si>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</si>
  <si>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</si>
  <si>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</si>
  <si>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</si>
  <si>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</si>
  <si>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</si>
  <si>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</si>
  <si>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</si>
  <si>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</si>
  <si>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</si>
  <si>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</si>
  <si>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</si>
  <si>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</si>
  <si>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</si>
  <si>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</si>
  <si>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</si>
  <si>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</si>
  <si>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</si>
  <si>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</si>
  <si>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</si>
  <si>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</si>
  <si>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</si>
  <si>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</si>
  <si>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</si>
  <si>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</si>
  <si>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</si>
  <si>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</si>
  <si>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</si>
  <si>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</si>
  <si>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</si>
  <si>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</si>
  <si>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</si>
  <si>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</si>
  <si>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</si>
  <si>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</si>
  <si>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</si>
  <si>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</si>
  <si>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</si>
  <si>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</si>
  <si>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</si>
  <si>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</si>
  <si>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</si>
  <si>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</si>
  <si>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</si>
  <si>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</si>
  <si>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</si>
  <si>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</si>
  <si>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</si>
  <si>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</si>
  <si>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</si>
  <si>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</si>
  <si>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</si>
  <si>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</si>
  <si>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</si>
  <si>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</si>
  <si>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</si>
  <si>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</si>
  <si>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</si>
  <si>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</si>
  <si>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</si>
  <si>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</si>
  <si>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</si>
  <si>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</si>
  <si>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</si>
  <si>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</si>
  <si>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</si>
  <si>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</si>
  <si>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</si>
  <si>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</si>
  <si>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</si>
  <si>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</si>
  <si>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</si>
  <si>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</si>
  <si>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</si>
  <si>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</si>
  <si>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</si>
  <si>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</si>
  <si>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</si>
  <si>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</si>
  <si>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</si>
  <si>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</si>
  <si>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</si>
  <si>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</si>
  <si>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</si>
  <si>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</si>
  <si>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</si>
  <si>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</si>
  <si>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</si>
  <si>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</si>
  <si>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</si>
  <si>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</si>
  <si>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</si>
  <si>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</si>
  <si>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</si>
  <si>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</si>
  <si>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</si>
  <si>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</si>
  <si>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</si>
  <si>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</si>
  <si>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</si>
  <si>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</si>
  <si>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</si>
  <si>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</si>
  <si>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</si>
  <si>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</si>
  <si>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</si>
  <si>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</si>
  <si>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</si>
  <si>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</si>
  <si>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</si>
  <si>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</si>
  <si>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</si>
  <si>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</si>
  <si>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</si>
  <si>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</si>
  <si>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</si>
  <si>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</si>
  <si>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</si>
  <si>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</si>
  <si>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</si>
  <si>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</si>
  <si>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</si>
  <si>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</si>
  <si>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</si>
  <si>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</si>
  <si>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</si>
  <si>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</si>
  <si>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</si>
  <si>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</si>
  <si>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</si>
  <si>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</si>
  <si>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</si>
  <si>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</si>
  <si>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</si>
  <si>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</si>
  <si>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</si>
  <si>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</si>
  <si>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</si>
  <si>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</si>
  <si>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</si>
  <si>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</si>
  <si>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</si>
  <si>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</si>
  <si>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</si>
  <si>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</si>
  <si>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</si>
  <si>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</si>
  <si>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</si>
  <si>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</si>
  <si>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</si>
  <si>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</si>
  <si>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</si>
  <si>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</si>
  <si>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</si>
  <si>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</si>
  <si>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</si>
  <si>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</si>
  <si>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</si>
  <si>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</si>
  <si>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</si>
  <si>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</si>
  <si>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</si>
  <si>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</si>
  <si>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</si>
  <si>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</si>
  <si>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</si>
  <si>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</si>
  <si>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</si>
  <si>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</si>
  <si>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</si>
  <si>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</si>
  <si>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</si>
  <si>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</si>
  <si>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</si>
  <si>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</si>
  <si>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</si>
  <si>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</si>
  <si>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</si>
  <si>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</si>
  <si>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</si>
  <si>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</si>
  <si>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</si>
  <si>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</si>
  <si>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</si>
  <si>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</si>
  <si>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</si>
  <si>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</si>
  <si>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</si>
  <si>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</si>
  <si>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</si>
  <si>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</si>
  <si>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</si>
  <si>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</si>
  <si>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</si>
  <si>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</si>
  <si>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</si>
  <si>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</si>
  <si>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</si>
  <si>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</si>
  <si>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</si>
  <si>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</si>
  <si>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</si>
  <si>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</si>
  <si>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</si>
  <si>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</si>
  <si>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</si>
  <si>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</si>
  <si>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</si>
  <si>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</si>
  <si>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</si>
  <si>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</si>
  <si>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</si>
  <si>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</si>
  <si>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</si>
  <si>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</si>
  <si>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</si>
  <si>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</si>
  <si>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</si>
  <si>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</si>
  <si>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</si>
  <si>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</si>
  <si>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</si>
  <si>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</si>
  <si>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</si>
  <si>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</si>
  <si>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</si>
  <si>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</si>
  <si>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</si>
  <si>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</si>
  <si>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</si>
  <si>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</si>
  <si>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</si>
  <si>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</si>
  <si>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</si>
  <si>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</si>
  <si>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</si>
  <si>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</si>
  <si>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</si>
  <si>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</si>
  <si>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</si>
  <si>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</si>
  <si>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</si>
  <si>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</si>
  <si>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</si>
  <si>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</si>
  <si>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</si>
  <si>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</si>
  <si>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</si>
  <si>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</si>
  <si>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</si>
  <si>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</si>
  <si>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</si>
  <si>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</si>
  <si>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</si>
  <si>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</si>
  <si>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</si>
  <si>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</si>
  <si>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</si>
  <si>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</si>
  <si>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</si>
  <si>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</si>
  <si>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</si>
  <si>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</si>
  <si>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</si>
  <si>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</si>
  <si>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</si>
  <si>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</si>
  <si>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</si>
  <si>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</si>
  <si>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</si>
  <si>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</si>
  <si>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</si>
  <si>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</si>
  <si>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</si>
  <si>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</si>
  <si>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</si>
  <si>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</si>
  <si>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</si>
  <si>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</si>
  <si>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</si>
  <si>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</si>
  <si>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</si>
  <si>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</si>
  <si>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</si>
  <si>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</si>
  <si>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</si>
  <si>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</si>
  <si>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</si>
  <si>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</si>
  <si>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</si>
  <si>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</si>
  <si>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</si>
  <si>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</si>
  <si>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</si>
  <si>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</si>
  <si>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</si>
  <si>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</si>
  <si>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</si>
  <si>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</si>
  <si>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</si>
  <si>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</si>
  <si>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</si>
  <si>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</si>
  <si>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</si>
  <si>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</si>
  <si>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</si>
  <si>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</si>
  <si>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</si>
  <si>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</si>
  <si>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</si>
  <si>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</si>
  <si>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</si>
  <si>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</si>
  <si>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</si>
  <si>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</si>
  <si>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</si>
  <si>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</si>
  <si>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</si>
  <si>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</si>
  <si>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</si>
  <si>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</si>
  <si>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</si>
  <si>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</si>
  <si>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</si>
  <si>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</si>
  <si>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</si>
  <si>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</si>
  <si>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</si>
  <si>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</si>
  <si>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</si>
  <si>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</si>
  <si>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</si>
  <si>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</si>
  <si>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</si>
  <si>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</si>
  <si>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</si>
  <si>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</si>
  <si>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</si>
  <si>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</si>
  <si>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</si>
  <si>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</si>
  <si>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</si>
  <si>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</si>
  <si>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</si>
  <si>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</si>
  <si>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</si>
  <si>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</si>
  <si>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</si>
  <si>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</si>
  <si>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</si>
  <si>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</si>
  <si>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</si>
  <si>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</si>
  <si>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</si>
  <si>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</si>
  <si>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</si>
  <si>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</si>
  <si>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</si>
  <si>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</si>
  <si>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</si>
  <si>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</si>
  <si>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</si>
  <si>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</si>
  <si>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</si>
  <si>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</si>
  <si>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</si>
  <si>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</si>
  <si>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</si>
  <si>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</si>
  <si>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</si>
  <si>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</si>
  <si>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</si>
  <si>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</si>
  <si>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</si>
  <si>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</si>
  <si>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</si>
  <si>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</si>
  <si>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</si>
  <si>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</si>
  <si>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</si>
  <si>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</si>
  <si>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</si>
  <si>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</si>
  <si>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</si>
  <si>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</si>
  <si>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</si>
  <si>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</si>
  <si>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</si>
  <si>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</si>
  <si>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</si>
  <si>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</si>
  <si>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</si>
  <si>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</si>
  <si>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</si>
  <si>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</si>
  <si>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</si>
  <si>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</si>
  <si>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</si>
  <si>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</si>
  <si>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</si>
  <si>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</si>
  <si>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</si>
  <si>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</si>
  <si>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</si>
  <si>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</si>
  <si>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</si>
  <si>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</si>
  <si>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</si>
  <si>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</si>
  <si>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</si>
  <si>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</si>
  <si>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</si>
  <si>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</si>
  <si>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</si>
  <si>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</si>
  <si>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</si>
  <si>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</si>
  <si>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</si>
  <si>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</si>
  <si>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</si>
  <si>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</si>
  <si>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</si>
  <si>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</si>
  <si>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</si>
  <si>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</si>
  <si>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</si>
  <si>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</si>
  <si>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</si>
  <si>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</si>
  <si>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</si>
  <si>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</si>
  <si>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</si>
  <si>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</si>
  <si>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</si>
  <si>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</si>
  <si>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</si>
  <si>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</si>
  <si>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</si>
  <si>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</si>
  <si>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</si>
  <si>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</si>
  <si>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</si>
  <si>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</si>
  <si>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</si>
  <si>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</si>
  <si>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</si>
  <si>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</si>
  <si>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</si>
  <si>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</si>
  <si>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</si>
  <si>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</si>
  <si>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</si>
  <si>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</si>
  <si>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</si>
  <si>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</si>
  <si>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</si>
  <si>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</si>
  <si>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</si>
  <si>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</si>
  <si>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</si>
  <si>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</si>
  <si>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</si>
  <si>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</si>
  <si>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</si>
  <si>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</si>
  <si>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</si>
  <si>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</si>
  <si>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</si>
  <si>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</si>
  <si>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</si>
  <si>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</si>
  <si>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</si>
  <si>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</si>
  <si>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</si>
  <si>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</si>
  <si>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</si>
  <si>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</si>
  <si>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</si>
  <si>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</si>
  <si>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</si>
  <si>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</si>
  <si>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</si>
  <si>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</si>
  <si>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</si>
  <si>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</si>
  <si>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</si>
  <si>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</si>
  <si>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</si>
  <si>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</si>
  <si>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</si>
  <si>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</si>
  <si>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</si>
  <si>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</si>
  <si>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</si>
  <si>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</si>
  <si>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</si>
  <si>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dataCon Inc.</t>
  </si>
  <si>
    <t>08-852440</t>
  </si>
  <si>
    <t>DUNS</t>
  </si>
  <si>
    <t>10 Elizabeth Drive Unit #8, Chelmsford, MA 01824</t>
  </si>
  <si>
    <t>Dave Genchauski</t>
  </si>
  <si>
    <t>dave _genchauski@data-con.com</t>
  </si>
  <si>
    <t>781-273-5800 ext 294</t>
  </si>
  <si>
    <t>Quality Supply Program Manager</t>
  </si>
  <si>
    <t>In some Capacitors</t>
  </si>
  <si>
    <t>In solder and on PCB's with HASL finish</t>
  </si>
  <si>
    <t xml:space="preserve">On some Printed </t>
  </si>
  <si>
    <t>Materials are added to our purchases many levels before we receive them</t>
  </si>
  <si>
    <t>Materials are added to our purchases many levels before we receive them, none reported to us.</t>
  </si>
  <si>
    <t>Only the suppliers that source the material directly</t>
  </si>
  <si>
    <t xml:space="preserve">Capacitor suppliers </t>
  </si>
  <si>
    <t>Solder and PWB suppliers</t>
  </si>
  <si>
    <t>PWB and some component suppliers</t>
  </si>
  <si>
    <t>http:data-con.com/corporate-docs/</t>
  </si>
  <si>
    <t>Non-compliance can be cause to rmove supplier from the AVL</t>
  </si>
  <si>
    <t>We supply CMRT to or customers when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</si>
</sst>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8"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17"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1" zoomScalePageLayoutView="70" workbookViewId="0">
      <selection activeCell="D92" sqref="D9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45688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t="s">
        <v>15863</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t="s">
        <v>15864</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t="s">
        <v>15865</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t="s">
        <v>15863</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t="s">
        <v>15864</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t="s">
        <v>15865</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486</v>
      </c>
      <c r="E38" s="327"/>
      <c r="F38" s="47"/>
      <c r="G38" s="328" t="s">
        <v>15866</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486</v>
      </c>
      <c r="E39" s="327"/>
      <c r="F39" s="47"/>
      <c r="G39" s="328" t="s">
        <v>15866</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486</v>
      </c>
      <c r="E40" s="327"/>
      <c r="F40" s="47"/>
      <c r="G40" s="328" t="s">
        <v>15866</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t="s">
        <v>15867</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t="s">
        <v>15867</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t="s">
        <v>15867</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28" t="s">
        <v>15866</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t="s">
        <v>15866</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28" t="s">
        <v>15866</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2465</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t="s">
        <v>15868</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t="s">
        <v>15868</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t="s">
        <v>15868</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t="s">
        <v>15869</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t="s">
        <v>15870</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t="s">
        <v>15871</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15872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15873</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t="s">
        <v>15874</v>
      </c>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C16" sqref="C1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1119</v>
      </c>
      <c r="C5" s="186" t="s">
        <v>2267</v>
      </c>
      <c r="D5" s="230"/>
      <c r="E5" s="182" t="str">
        <f ca="1">IF(ISERROR($V5),"",OFFSET('Smelter Look-up'!$D$4,$V5-4,0)&amp;"")</f>
        <v>SWITZERLAND</v>
      </c>
      <c r="F5" s="182" t="str">
        <f ca="1">IF(ISERROR($V5),"",OFFSET('Smelter Look-up'!$E$4,$V5-4,0))</f>
        <v>CID000077</v>
      </c>
      <c r="G5" s="182" t="str">
        <f ca="1">IF(C5=$X$4,IF(ISERROR($V5),"Enter smelter details","RMI"),IF(ISERROR($V5),"",OFFSET('Smelter Look-up'!$F$4,$V5-4,0)))</f>
        <v>RMI</v>
      </c>
      <c r="H5" s="183">
        <f ca="1">IF(ISERROR($V5),"",OFFSET('Smelter Look-up'!$G$4,$V5-4,0))</f>
        <v>0</v>
      </c>
      <c r="I5" s="184" t="str">
        <f ca="1">IF(ISERROR($V5),"",OFFSET('Smelter Look-up'!$H$4,$V5-4,0))</f>
        <v>Mendrisio</v>
      </c>
      <c r="J5" s="184" t="str">
        <f ca="1">IF(ISERROR($V5),"",OFFSET('Smelter Look-up'!$I$4,$V5-4,0))</f>
        <v>Ticino</v>
      </c>
      <c r="K5" s="224"/>
      <c r="L5" s="224"/>
      <c r="M5" s="224"/>
      <c r="N5" s="224"/>
      <c r="O5" s="224"/>
      <c r="P5" s="185"/>
      <c r="Q5" s="225"/>
      <c r="R5" s="182" t="str">
        <f ca="1">IF(ISERROR($V5),"",OFFSET('Smelter Look-up'!$C$4,$V5-4,0)&amp;"")</f>
        <v>Argor-Heraeus S.A.</v>
      </c>
      <c r="S5" s="181" t="str">
        <f ca="1">IF(B5="","",IF(ISERROR(MATCH($E5,CL,0)),"Unknown",INDIRECT("'C'!$A$"&amp;MATCH($E5,CL,0)+1)))</f>
        <v>CH</v>
      </c>
      <c r="T5" s="181" t="str">
        <f ca="1">IF(B5="","",IF(ISERROR(MATCH($J5,SorP!$B$1:$B$6226,0)),"",INDIRECT("'SorP'!$A$"&amp;MATCH($S5&amp;$J5,SorP!C:C,0))))</f>
        <v>CH-TI</v>
      </c>
      <c r="U5" s="201"/>
      <c r="V5" s="226">
        <f>IF(C5="",NA(),IF(OR(C5="Smelter not listed",C5="Smelter not yet identified"),MATCH($B5&amp;$D5,'Smelter Look-up'!$J:$J,0),MATCH($B5&amp;$C5,'Smelter Look-up'!$J:$J,0)))</f>
        <v>28</v>
      </c>
      <c r="X5" s="227">
        <f t="shared" ref="X5" ca="1" si="0">IF(AND(C5="Smelter not listed",OR(LEN(D5)=0,LEN(E5)=0)),1,0)</f>
        <v>0</v>
      </c>
      <c r="AB5" s="228" t="str">
        <f t="shared" ref="AB5" si="1">B5&amp;C5</f>
        <v>GoldArgor-Heraeus S.A.</v>
      </c>
    </row>
    <row r="6" spans="1:34" s="227" customFormat="1" ht="20.100000000000001" customHeight="1">
      <c r="A6" s="262"/>
      <c r="B6" s="182" t="s">
        <v>1119</v>
      </c>
      <c r="C6" s="186" t="s">
        <v>1593</v>
      </c>
      <c r="D6" s="230"/>
      <c r="E6" s="182" t="str">
        <f ca="1">IF(ISERROR($V6),"",OFFSET('Smelter Look-up'!$D$4,$V6-4,0)&amp;"")</f>
        <v>UNITED STATES OF AMERICA</v>
      </c>
      <c r="F6" s="182" t="str">
        <f ca="1">IF(ISERROR($V6),"",OFFSET('Smelter Look-up'!$E$4,$V6-4,0))</f>
        <v>CID000920</v>
      </c>
      <c r="G6" s="182" t="str">
        <f ca="1">IF(C6=$X$4,IF(ISERROR($V6),"Enter smelter details","RMI"),IF(ISERROR($V6),"",OFFSET('Smelter Look-up'!$F$4,$V6-4,0)))</f>
        <v>RMI</v>
      </c>
      <c r="H6" s="183">
        <f ca="1">IF(ISERROR($V6),"",OFFSET('Smelter Look-up'!$G$4,$V6-4,0))</f>
        <v>0</v>
      </c>
      <c r="I6" s="184" t="str">
        <f ca="1">IF(ISERROR($V6),"",OFFSET('Smelter Look-up'!$H$4,$V6-4,0))</f>
        <v>Salt Lake City</v>
      </c>
      <c r="J6" s="184" t="str">
        <f ca="1">IF(ISERROR($V6),"",OFFSET('Smelter Look-up'!$I$4,$V6-4,0))</f>
        <v>Utah</v>
      </c>
      <c r="K6" s="224"/>
      <c r="L6" s="224"/>
      <c r="M6" s="224"/>
      <c r="N6" s="224"/>
      <c r="O6" s="224"/>
      <c r="P6" s="185"/>
      <c r="Q6" s="225"/>
      <c r="R6" s="182" t="str">
        <f ca="1">IF(ISERROR($V6),"",OFFSET('Smelter Look-up'!$C$4,$V6-4,0)&amp;"")</f>
        <v>Asahi Refining USA Inc.</v>
      </c>
      <c r="S6" s="181" t="str">
        <f t="shared" ref="S6:S37" ca="1" si="2">IF(B6="","",IF(ISERROR(MATCH($E6,CL,0)),"Unknown",INDIRECT("'C'!$A$"&amp;MATCH($E6,CL,0)+1)))</f>
        <v>US</v>
      </c>
      <c r="T6" s="181" t="str">
        <f ca="1">IF(B6="","",IF(ISERROR(MATCH($J6,SorP!$B$1:$B$6226,0)),"",INDIRECT("'SorP'!$A$"&amp;MATCH($S6&amp;$J6,SorP!C:C,0))))</f>
        <v>US-UT</v>
      </c>
      <c r="U6" s="201"/>
      <c r="V6" s="226">
        <f>IF(C6="",NA(),IF(OR(C6="Smelter not listed",C6="Smelter not yet identified"),MATCH($B6&amp;$D6,'Smelter Look-up'!$J:$J,0),MATCH($B6&amp;$C6,'Smelter Look-up'!$J:$J,0)))</f>
        <v>136</v>
      </c>
      <c r="X6" s="227">
        <f t="shared" ref="X6:X37" ca="1" si="3">IF(AND(C6="Smelter not listed",OR(LEN(D6)=0,LEN(E6)=0)),1,0)</f>
        <v>0</v>
      </c>
      <c r="AB6" s="228" t="str">
        <f t="shared" ref="AB6:AB37" si="4">B6&amp;C6</f>
        <v>GoldJohnson Matthey Inc. (USA)</v>
      </c>
    </row>
    <row r="7" spans="1:34" s="227" customFormat="1" ht="20.100000000000001" customHeight="1">
      <c r="A7" s="262"/>
      <c r="B7" s="182" t="s">
        <v>1119</v>
      </c>
      <c r="C7" s="186" t="s">
        <v>2288</v>
      </c>
      <c r="D7" s="230"/>
      <c r="E7" s="182" t="str">
        <f ca="1">IF(ISERROR($V7),"",OFFSET('Smelter Look-up'!$D$4,$V7-4,0)&amp;"")</f>
        <v>SWITZERLAND</v>
      </c>
      <c r="F7" s="182" t="str">
        <f ca="1">IF(ISERROR($V7),"",OFFSET('Smelter Look-up'!$E$4,$V7-4,0))</f>
        <v>CID001153</v>
      </c>
      <c r="G7" s="182" t="str">
        <f ca="1">IF(C7=$X$4,IF(ISERROR($V7),"Enter smelter details","RMI"),IF(ISERROR($V7),"",OFFSET('Smelter Look-up'!$F$4,$V7-4,0)))</f>
        <v>RMI</v>
      </c>
      <c r="H7" s="183">
        <f ca="1">IF(ISERROR($V7),"",OFFSET('Smelter Look-up'!$G$4,$V7-4,0))</f>
        <v>0</v>
      </c>
      <c r="I7" s="184" t="str">
        <f ca="1">IF(ISERROR($V7),"",OFFSET('Smelter Look-up'!$H$4,$V7-4,0))</f>
        <v>Marin</v>
      </c>
      <c r="J7" s="184" t="str">
        <f ca="1">IF(ISERROR($V7),"",OFFSET('Smelter Look-up'!$I$4,$V7-4,0))</f>
        <v>Neuchâtel</v>
      </c>
      <c r="K7" s="224"/>
      <c r="L7" s="224"/>
      <c r="M7" s="224"/>
      <c r="N7" s="224"/>
      <c r="O7" s="224"/>
      <c r="P7" s="185"/>
      <c r="Q7" s="225"/>
      <c r="R7" s="182" t="str">
        <f ca="1">IF(ISERROR($V7),"",OFFSET('Smelter Look-up'!$C$4,$V7-4,0)&amp;"")</f>
        <v>Metalor Technologies S.A.</v>
      </c>
      <c r="S7" s="181" t="str">
        <f t="shared" ca="1" si="2"/>
        <v>CH</v>
      </c>
      <c r="T7" s="181" t="str">
        <f ca="1">IF(B7="","",IF(ISERROR(MATCH($J7,SorP!$B$1:$B$6226,0)),"",INDIRECT("'SorP'!$A$"&amp;MATCH($S7&amp;$J7,SorP!C:C,0))))</f>
        <v>CH-NE</v>
      </c>
      <c r="U7" s="201"/>
      <c r="V7" s="226">
        <f>IF(C7="",NA(),IF(OR(C7="Smelter not listed",C7="Smelter not yet identified"),MATCH($B7&amp;$D7,'Smelter Look-up'!$J:$J,0),MATCH($B7&amp;$C7,'Smelter Look-up'!$J:$J,0)))</f>
        <v>186</v>
      </c>
      <c r="X7" s="227">
        <f t="shared" ca="1" si="3"/>
        <v>0</v>
      </c>
      <c r="AB7" s="228" t="str">
        <f t="shared" si="4"/>
        <v>GoldMetalor Technologies S.A.</v>
      </c>
    </row>
    <row r="8" spans="1:34" s="227" customFormat="1" ht="20.100000000000001" customHeight="1">
      <c r="A8" s="262"/>
      <c r="B8" s="182" t="s">
        <v>1120</v>
      </c>
      <c r="C8" s="186" t="s">
        <v>1024</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c r="L8" s="224"/>
      <c r="M8" s="224"/>
      <c r="N8" s="224"/>
      <c r="O8" s="224"/>
      <c r="P8" s="185"/>
      <c r="Q8" s="225"/>
      <c r="R8" s="182" t="str">
        <f ca="1">IF(ISERROR($V8),"",OFFSET('Smelter Look-up'!$C$4,$V8-4,0)&amp;"")</f>
        <v>Minsur</v>
      </c>
      <c r="S8" s="181" t="str">
        <f t="shared" ca="1" si="2"/>
        <v>PE</v>
      </c>
      <c r="T8" s="181" t="str">
        <f ca="1">IF(B8="","",IF(ISERROR(MATCH($J8,SorP!$B$1:$B$6226,0)),"",INDIRECT("'SorP'!$A$"&amp;MATCH($S8&amp;$J8,SorP!C:C,0))))</f>
        <v>PE-ICA</v>
      </c>
      <c r="U8" s="201"/>
      <c r="V8" s="226">
        <f>IF(C8="",NA(),IF(OR(C8="Smelter not listed",C8="Smelter not yet identified"),MATCH($B8&amp;$D8,'Smelter Look-up'!$J:$J,0),MATCH($B8&amp;$C8,'Smelter Look-up'!$J:$J,0)))</f>
        <v>487</v>
      </c>
      <c r="X8" s="227">
        <f t="shared" ca="1" si="3"/>
        <v>0</v>
      </c>
      <c r="AB8" s="228" t="str">
        <f t="shared" si="4"/>
        <v>TinMinsur</v>
      </c>
    </row>
    <row r="9" spans="1:34" s="227" customFormat="1" ht="20.100000000000001" customHeight="1">
      <c r="A9" s="262"/>
      <c r="B9" s="182" t="s">
        <v>1120</v>
      </c>
      <c r="C9" s="186" t="s">
        <v>2141</v>
      </c>
      <c r="D9" s="230"/>
      <c r="E9" s="182" t="str">
        <f ca="1">IF(ISERROR($V9),"",OFFSET('Smelter Look-up'!$D$4,$V9-4,0)&amp;"")</f>
        <v>INDONESIA</v>
      </c>
      <c r="F9" s="182" t="str">
        <f ca="1">IF(ISERROR($V9),"",OFFSET('Smelter Look-up'!$E$4,$V9-4,0))</f>
        <v>CID001460</v>
      </c>
      <c r="G9" s="182" t="str">
        <f ca="1">IF(C9=$X$4,IF(ISERROR($V9),"Enter smelter details","RMI"),IF(ISERROR($V9),"",OFFSET('Smelter Look-up'!$F$4,$V9-4,0)))</f>
        <v>RMI</v>
      </c>
      <c r="H9" s="183">
        <f ca="1">IF(ISERROR($V9),"",OFFSET('Smelter Look-up'!$G$4,$V9-4,0))</f>
        <v>0</v>
      </c>
      <c r="I9" s="184" t="str">
        <f ca="1">IF(ISERROR($V9),"",OFFSET('Smelter Look-up'!$H$4,$V9-4,0))</f>
        <v>Sungailiat</v>
      </c>
      <c r="J9" s="184" t="str">
        <f ca="1">IF(ISERROR($V9),"",OFFSET('Smelter Look-up'!$I$4,$V9-4,0))</f>
        <v>Kepulauan Bangka Belitung</v>
      </c>
      <c r="K9" s="224"/>
      <c r="L9" s="224"/>
      <c r="M9" s="224"/>
      <c r="N9" s="224"/>
      <c r="O9" s="224"/>
      <c r="P9" s="185"/>
      <c r="Q9" s="225"/>
      <c r="R9" s="182" t="str">
        <f ca="1">IF(ISERROR($V9),"",OFFSET('Smelter Look-up'!$C$4,$V9-4,0)&amp;"")</f>
        <v>PT Refined Bangka Tin</v>
      </c>
      <c r="S9" s="181" t="str">
        <f t="shared" ca="1" si="2"/>
        <v>ID</v>
      </c>
      <c r="T9" s="181" t="str">
        <f ca="1">IF(B9="","",IF(ISERROR(MATCH($J9,SorP!$B$1:$B$6226,0)),"",INDIRECT("'SorP'!$A$"&amp;MATCH($S9&amp;$J9,SorP!C:C,0))))</f>
        <v>ID-BB</v>
      </c>
      <c r="U9" s="201"/>
      <c r="V9" s="226">
        <f>IF(C9="",NA(),IF(OR(C9="Smelter not listed",C9="Smelter not yet identified"),MATCH($B9&amp;$D9,'Smelter Look-up'!$J:$J,0),MATCH($B9&amp;$C9,'Smelter Look-up'!$J:$J,0)))</f>
        <v>526</v>
      </c>
      <c r="X9" s="227">
        <f t="shared" ca="1" si="3"/>
        <v>0</v>
      </c>
      <c r="AB9" s="228" t="str">
        <f t="shared" si="4"/>
        <v>TinPT Refined Bangka Tin</v>
      </c>
    </row>
    <row r="10" spans="1:34" s="227" customFormat="1" ht="20.100000000000001" customHeight="1">
      <c r="A10" s="262"/>
      <c r="B10" s="182" t="s">
        <v>1120</v>
      </c>
      <c r="C10" s="186" t="s">
        <v>811</v>
      </c>
      <c r="D10" s="230"/>
      <c r="E10" s="182" t="str">
        <f ca="1">IF(ISERROR($V10),"",OFFSET('Smelter Look-up'!$D$4,$V10-4,0)&amp;"")</f>
        <v>MALAYSIA</v>
      </c>
      <c r="F10" s="182" t="str">
        <f ca="1">IF(ISERROR($V10),"",OFFSET('Smelter Look-up'!$E$4,$V10-4,0))</f>
        <v>CID001105</v>
      </c>
      <c r="G10" s="182" t="str">
        <f ca="1">IF(C10=$X$4,IF(ISERROR($V10),"Enter smelter details","RMI"),IF(ISERROR($V10),"",OFFSET('Smelter Look-up'!$F$4,$V10-4,0)))</f>
        <v>RMI</v>
      </c>
      <c r="H10" s="183">
        <f ca="1">IF(ISERROR($V10),"",OFFSET('Smelter Look-up'!$G$4,$V10-4,0))</f>
        <v>0</v>
      </c>
      <c r="I10" s="184" t="str">
        <f ca="1">IF(ISERROR($V10),"",OFFSET('Smelter Look-up'!$H$4,$V10-4,0))</f>
        <v>Butterworth</v>
      </c>
      <c r="J10" s="184" t="str">
        <f ca="1">IF(ISERROR($V10),"",OFFSET('Smelter Look-up'!$I$4,$V10-4,0))</f>
        <v>Pulau Pinang</v>
      </c>
      <c r="K10" s="224"/>
      <c r="L10" s="224"/>
      <c r="M10" s="224"/>
      <c r="N10" s="224"/>
      <c r="O10" s="224"/>
      <c r="P10" s="185"/>
      <c r="Q10" s="225"/>
      <c r="R10" s="182" t="str">
        <f ca="1">IF(ISERROR($V10),"",OFFSET('Smelter Look-up'!$C$4,$V10-4,0)&amp;"")</f>
        <v>Malaysia Smelting Corporation (MSC)</v>
      </c>
      <c r="S10" s="181" t="str">
        <f t="shared" ca="1" si="2"/>
        <v>MY</v>
      </c>
      <c r="T10" s="181" t="str">
        <f ca="1">IF(B10="","",IF(ISERROR(MATCH($J10,SorP!$B$1:$B$6226,0)),"",INDIRECT("'SorP'!$A$"&amp;MATCH($S10&amp;$J10,SorP!C:C,0))))</f>
        <v>MY-07</v>
      </c>
      <c r="U10" s="201"/>
      <c r="V10" s="226">
        <f>IF(C10="",NA(),IF(OR(C10="Smelter not listed",C10="Smelter not yet identified"),MATCH($B10&amp;$D10,'Smelter Look-up'!$J:$J,0),MATCH($B10&amp;$C10,'Smelter Look-up'!$J:$J,0)))</f>
        <v>474</v>
      </c>
      <c r="X10" s="227">
        <f t="shared" ca="1" si="3"/>
        <v>0</v>
      </c>
      <c r="AB10" s="228" t="str">
        <f t="shared" si="4"/>
        <v>TinMalaysia Smelting Corporation (MSC)</v>
      </c>
    </row>
    <row r="11" spans="1:34" s="227" customFormat="1" ht="20.100000000000001" customHeight="1">
      <c r="A11" s="262"/>
      <c r="B11" s="182" t="s">
        <v>1120</v>
      </c>
      <c r="C11" s="186" t="s">
        <v>1783</v>
      </c>
      <c r="D11" s="230"/>
      <c r="E11" s="182" t="str">
        <f ca="1">IF(ISERROR($V11),"",OFFSET('Smelter Look-up'!$D$4,$V11-4,0)&amp;"")</f>
        <v>THAILAND</v>
      </c>
      <c r="F11" s="182" t="str">
        <f ca="1">IF(ISERROR($V11),"",OFFSET('Smelter Look-up'!$E$4,$V11-4,0))</f>
        <v>CID001898</v>
      </c>
      <c r="G11" s="182" t="str">
        <f ca="1">IF(C11=$X$4,IF(ISERROR($V11),"Enter smelter details","RMI"),IF(ISERROR($V11),"",OFFSET('Smelter Look-up'!$F$4,$V11-4,0)))</f>
        <v>RMI</v>
      </c>
      <c r="H11" s="183">
        <f ca="1">IF(ISERROR($V11),"",OFFSET('Smelter Look-up'!$G$4,$V11-4,0))</f>
        <v>0</v>
      </c>
      <c r="I11" s="184" t="str">
        <f ca="1">IF(ISERROR($V11),"",OFFSET('Smelter Look-up'!$H$4,$V11-4,0))</f>
        <v>Amphur Muang</v>
      </c>
      <c r="J11" s="184" t="str">
        <f ca="1">IF(ISERROR($V11),"",OFFSET('Smelter Look-up'!$I$4,$V11-4,0))</f>
        <v>Phuket</v>
      </c>
      <c r="K11" s="224"/>
      <c r="L11" s="224"/>
      <c r="M11" s="224"/>
      <c r="N11" s="224"/>
      <c r="O11" s="224"/>
      <c r="P11" s="185"/>
      <c r="Q11" s="225"/>
      <c r="R11" s="182" t="str">
        <f ca="1">IF(ISERROR($V11),"",OFFSET('Smelter Look-up'!$C$4,$V11-4,0)&amp;"")</f>
        <v>Thaisarco</v>
      </c>
      <c r="S11" s="181" t="str">
        <f t="shared" ca="1" si="2"/>
        <v>TH</v>
      </c>
      <c r="T11" s="181" t="str">
        <f ca="1">IF(B11="","",IF(ISERROR(MATCH($J11,SorP!$B$1:$B$6226,0)),"",INDIRECT("'SorP'!$A$"&amp;MATCH($S11&amp;$J11,SorP!C:C,0))))</f>
        <v>TH-83</v>
      </c>
      <c r="U11" s="201"/>
      <c r="V11" s="226">
        <f>IF(C11="",NA(),IF(OR(C11="Smelter not listed",C11="Smelter not yet identified"),MATCH($B11&amp;$D11,'Smelter Look-up'!$J:$J,0),MATCH($B11&amp;$C11,'Smelter Look-up'!$J:$J,0)))</f>
        <v>546</v>
      </c>
      <c r="X11" s="227">
        <f t="shared" ca="1" si="3"/>
        <v>0</v>
      </c>
      <c r="AB11" s="228" t="str">
        <f t="shared" si="4"/>
        <v>TinThailand Smelting &amp; Refining Co Ltd</v>
      </c>
    </row>
    <row r="12" spans="1:34" s="227" customFormat="1" ht="20.100000000000001" customHeight="1">
      <c r="A12" s="262"/>
      <c r="B12" s="182" t="s">
        <v>1121</v>
      </c>
      <c r="C12" s="186" t="s">
        <v>1023</v>
      </c>
      <c r="D12" s="230"/>
      <c r="E12" s="182" t="str">
        <f ca="1">IF(ISERROR($V12),"",OFFSET('Smelter Look-up'!$D$4,$V12-4,0)&amp;"")</f>
        <v>BRAZIL</v>
      </c>
      <c r="F12" s="182" t="str">
        <f ca="1">IF(ISERROR($V12),"",OFFSET('Smelter Look-up'!$E$4,$V12-4,0))</f>
        <v>CID001175</v>
      </c>
      <c r="G12" s="182" t="str">
        <f ca="1">IF(C12=$X$4,IF(ISERROR($V12),"Enter smelter details","RMI"),IF(ISERROR($V12),"",OFFSET('Smelter Look-up'!$F$4,$V12-4,0)))</f>
        <v>RMI</v>
      </c>
      <c r="H12" s="183">
        <f ca="1">IF(ISERROR($V12),"",OFFSET('Smelter Look-up'!$G$4,$V12-4,0))</f>
        <v>0</v>
      </c>
      <c r="I12" s="184" t="str">
        <f ca="1">IF(ISERROR($V12),"",OFFSET('Smelter Look-up'!$H$4,$V12-4,0))</f>
        <v>Presidente Figueiredo</v>
      </c>
      <c r="J12" s="184" t="str">
        <f ca="1">IF(ISERROR($V12),"",OFFSET('Smelter Look-up'!$I$4,$V12-4,0))</f>
        <v>Amazonas</v>
      </c>
      <c r="K12" s="224"/>
      <c r="L12" s="224"/>
      <c r="M12" s="224"/>
      <c r="N12" s="224"/>
      <c r="O12" s="224"/>
      <c r="P12" s="185"/>
      <c r="Q12" s="225"/>
      <c r="R12" s="182" t="str">
        <f ca="1">IF(ISERROR($V12),"",OFFSET('Smelter Look-up'!$C$4,$V12-4,0)&amp;"")</f>
        <v>Mineracao Taboca S.A.</v>
      </c>
      <c r="S12" s="181" t="str">
        <f t="shared" ca="1" si="2"/>
        <v>BR</v>
      </c>
      <c r="T12" s="181" t="str">
        <f ca="1">IF(B12="","",IF(ISERROR(MATCH($J12,SorP!$B$1:$B$6226,0)),"",INDIRECT("'SorP'!$A$"&amp;MATCH($S12&amp;$J12,SorP!C:C,0))))</f>
        <v>BR-AM</v>
      </c>
      <c r="U12" s="201"/>
      <c r="V12" s="226">
        <f>IF(C12="",NA(),IF(OR(C12="Smelter not listed",C12="Smelter not yet identified"),MATCH($B12&amp;$D12,'Smelter Look-up'!$J:$J,0),MATCH($B12&amp;$C12,'Smelter Look-up'!$J:$J,0)))</f>
        <v>363</v>
      </c>
      <c r="X12" s="227">
        <f t="shared" ca="1" si="3"/>
        <v>0</v>
      </c>
      <c r="AB12" s="228" t="str">
        <f t="shared" si="4"/>
        <v>TantalumMineração Taboca S.A.</v>
      </c>
    </row>
    <row r="13" spans="1:34" s="227" customFormat="1" ht="20.100000000000001" customHeight="1">
      <c r="A13" s="262"/>
      <c r="B13" s="182" t="s">
        <v>1121</v>
      </c>
      <c r="C13" s="186" t="s">
        <v>1406</v>
      </c>
      <c r="D13" s="230"/>
      <c r="E13" s="182" t="s">
        <v>2415</v>
      </c>
      <c r="F13" s="182" t="s">
        <v>1407</v>
      </c>
      <c r="G13" s="182" t="s">
        <v>13217</v>
      </c>
      <c r="H13" s="183">
        <v>0</v>
      </c>
      <c r="I13" s="184" t="s">
        <v>1738</v>
      </c>
      <c r="J13" s="184" t="s">
        <v>1617</v>
      </c>
      <c r="K13" s="224"/>
      <c r="L13" s="224"/>
      <c r="M13" s="224"/>
      <c r="N13" s="224"/>
      <c r="O13" s="224"/>
      <c r="P13" s="185"/>
      <c r="Q13" s="225"/>
      <c r="R13" s="182" t="str">
        <f ca="1">IF(ISERROR($V13),"",OFFSET('Smelter Look-up'!$C$4,$V13-4,0)&amp;"")</f>
        <v>Materion Newton Inc.</v>
      </c>
      <c r="S13" s="181" t="str">
        <f t="shared" ca="1" si="2"/>
        <v>US</v>
      </c>
      <c r="T13" s="181" t="str">
        <f ca="1">IF(B13="","",IF(ISERROR(MATCH($J13,SorP!$B$1:$B$6226,0)),"",INDIRECT("'SorP'!$A$"&amp;MATCH($S13&amp;$J13,SorP!C:C,0))))</f>
        <v>US-MA</v>
      </c>
      <c r="U13" s="201"/>
      <c r="V13" s="226">
        <f>IF(C13="",NA(),IF(OR(C13="Smelter not listed",C13="Smelter not yet identified"),MATCH($B13&amp;$D13,'Smelter Look-up'!$J:$J,0),MATCH($B13&amp;$C13,'Smelter Look-up'!$J:$J,0)))</f>
        <v>345</v>
      </c>
      <c r="X13" s="227">
        <f t="shared" si="3"/>
        <v>0</v>
      </c>
      <c r="AB13" s="228" t="str">
        <f t="shared" si="4"/>
        <v>TantalumH.C. Starck Inc.</v>
      </c>
    </row>
    <row r="14" spans="1:34" s="227" customFormat="1" ht="20.100000000000001" customHeight="1">
      <c r="A14" s="262"/>
      <c r="B14" s="182"/>
      <c r="C14" s="186"/>
      <c r="D14" s="230"/>
      <c r="E14" s="182"/>
      <c r="F14" s="182"/>
      <c r="G14" s="182"/>
      <c r="H14" s="183"/>
      <c r="I14" s="184"/>
      <c r="J14" s="184"/>
      <c r="K14" s="224"/>
      <c r="L14" s="224"/>
      <c r="M14" s="224"/>
      <c r="N14" s="224"/>
      <c r="O14" s="224"/>
      <c r="P14" s="185"/>
      <c r="Q14" s="225"/>
      <c r="R14" s="182"/>
      <c r="S14" s="181"/>
      <c r="T14" s="181"/>
      <c r="U14" s="201"/>
      <c r="V14" s="226"/>
      <c r="AB14" s="228"/>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3C78C62-3CB2-4502-B896-FA6F1C88380F}"/>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47"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dataCon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Dave Genchauski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dave _genchauski@data-con.com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781-273-5800 ext 294</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Dave Genchauski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dave _genchauski@data-con.com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45688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http:data-con.com/corporate-docs/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373" activePane="bottomLeft" state="frozen"/>
      <selection activeCell="A4" sqref="A4"/>
      <selection pane="bottomLeft" activeCell="E4" sqref="E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F4F7EEE-691B-4904-AB2A-86C5F4C928D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64CD054-5113-4869-987A-2FA8697720D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Dave Genchauski</cp:lastModifiedBy>
  <cp:lastPrinted>2015-04-21T20:47:43Z</cp:lastPrinted>
  <dcterms:created xsi:type="dcterms:W3CDTF">2010-06-21T21:00:23Z</dcterms:created>
  <dcterms:modified xsi:type="dcterms:W3CDTF">2025-01-06T16:09:07Z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