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Users\daveg\Desktop\"/>
    </mc:Choice>
  </mc:AlternateContent>
  <xr:revisionPtr revIDLastSave="0" documentId="13_ncr:1_{5625FA25-7562-4C03-A321-EF33528A502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5" l="1"/>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X7" i="5"/>
  <c r="V8" i="5"/>
  <c r="I8" i="5" s="1"/>
  <c r="V9" i="5"/>
  <c r="E9" i="5" s="1"/>
  <c r="V10" i="5"/>
  <c r="E10" i="5" s="1"/>
  <c r="V11" i="5"/>
  <c r="E11" i="5" s="1"/>
  <c r="V12" i="5"/>
  <c r="J12" i="5" s="1"/>
  <c r="V13" i="5"/>
  <c r="H13" i="5" s="1"/>
  <c r="V14" i="5"/>
  <c r="E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1" i="5"/>
  <c r="G13"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c r="B55" i="6"/>
  <c r="G55" i="6"/>
  <c r="B54" i="6"/>
  <c r="G54" i="6"/>
  <c r="B17" i="6"/>
  <c r="B16" i="6"/>
  <c r="F21" i="6" s="1"/>
  <c r="B15" i="6"/>
  <c r="B14" i="6"/>
  <c r="G14" i="6" s="1"/>
  <c r="H14" i="6" s="1"/>
  <c r="D14" i="6" s="1"/>
  <c r="H13" i="6"/>
  <c r="B12" i="6"/>
  <c r="G12" i="6"/>
  <c r="H12" i="6" s="1"/>
  <c r="D12" i="6" s="1"/>
  <c r="B11" i="6"/>
  <c r="G11" i="6" s="1"/>
  <c r="H11" i="6" s="1"/>
  <c r="D11" i="6" s="1"/>
  <c r="G10" i="6"/>
  <c r="H10" i="6"/>
  <c r="D10"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B44" i="4" s="1"/>
  <c r="A29" i="6" s="1"/>
  <c r="P43" i="4"/>
  <c r="Q43" i="4" s="1"/>
  <c r="P41" i="4"/>
  <c r="B41" i="4" s="1"/>
  <c r="B59" i="4" s="1"/>
  <c r="A42" i="6"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B32" i="6" s="1"/>
  <c r="G32" i="6" s="1"/>
  <c r="F2442" i="5"/>
  <c r="J2442" i="5"/>
  <c r="I2442" i="5"/>
  <c r="H2442" i="5"/>
  <c r="AB2460" i="5"/>
  <c r="F2497" i="5"/>
  <c r="R2497" i="5"/>
  <c r="J2497" i="5"/>
  <c r="I2497" i="5"/>
  <c r="H2497" i="5"/>
  <c r="S2501" i="5"/>
  <c r="F64" i="6"/>
  <c r="G5" i="6"/>
  <c r="H5" i="6" s="1"/>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B50" i="6" s="1"/>
  <c r="G50" i="6" s="1"/>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51" i="6"/>
  <c r="G51" i="6" s="1"/>
  <c r="G16" i="6"/>
  <c r="H16" i="6"/>
  <c r="D16" i="6" s="1"/>
  <c r="B19" i="6"/>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221" i="5"/>
  <c r="S532" i="5"/>
  <c r="S356" i="5"/>
  <c r="X233" i="5"/>
  <c r="S343" i="5"/>
  <c r="S315" i="5"/>
  <c r="X317"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s="1"/>
  <c r="B37" i="6"/>
  <c r="G37" i="6" s="1"/>
  <c r="B39" i="6"/>
  <c r="G39" i="6" s="1"/>
  <c r="F24" i="6"/>
  <c r="F65" i="6" s="1"/>
  <c r="C2" i="6" s="1"/>
  <c r="B44" i="6"/>
  <c r="G44" i="6" s="1"/>
  <c r="B49" i="6"/>
  <c r="G49" i="6" s="1"/>
  <c r="H49" i="6" s="1"/>
  <c r="D49" i="6" s="1"/>
  <c r="B34" i="6"/>
  <c r="G34" i="6" s="1"/>
  <c r="B29" i="6"/>
  <c r="G29" i="6" s="1"/>
  <c r="B24" i="6"/>
  <c r="G24" i="6"/>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611" i="5"/>
  <c r="S611" i="5"/>
  <c r="S601" i="5"/>
  <c r="X467" i="5"/>
  <c r="X407" i="5"/>
  <c r="X359" i="5"/>
  <c r="S600" i="5"/>
  <c r="S382" i="5"/>
  <c r="X431" i="5"/>
  <c r="X305" i="5"/>
  <c r="X395" i="5"/>
  <c r="S533" i="5"/>
  <c r="X485" i="5"/>
  <c r="X575" i="5"/>
  <c r="S355" i="5"/>
  <c r="S602" i="5"/>
  <c r="S603" i="5"/>
  <c r="X605" i="5"/>
  <c r="S605" i="5"/>
  <c r="S607" i="5"/>
  <c r="X576" i="5"/>
  <c r="X215"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7" i="5"/>
  <c r="H17" i="5"/>
  <c r="I17" i="5"/>
  <c r="J17" i="5"/>
  <c r="R17" i="5"/>
  <c r="F17" i="5"/>
  <c r="H9" i="5"/>
  <c r="J9" i="5"/>
  <c r="I9" i="5"/>
  <c r="R9" i="5"/>
  <c r="F9" i="5"/>
  <c r="H15" i="5"/>
  <c r="J15" i="5"/>
  <c r="I15" i="5"/>
  <c r="F15" i="5"/>
  <c r="R15" i="5"/>
  <c r="H11" i="5"/>
  <c r="R11" i="5"/>
  <c r="J11" i="5"/>
  <c r="F11" i="5"/>
  <c r="I11" i="5"/>
  <c r="I14" i="5"/>
  <c r="R14" i="5"/>
  <c r="S17" i="5"/>
  <c r="S16" i="5"/>
  <c r="S15" i="5"/>
  <c r="S5" i="5"/>
  <c r="S7" i="5"/>
  <c r="G64" i="6" a="1"/>
  <c r="X14" i="5" l="1"/>
  <c r="F14" i="5"/>
  <c r="H14" i="5"/>
  <c r="G14" i="5"/>
  <c r="J14" i="5"/>
  <c r="E13" i="5"/>
  <c r="F13" i="5"/>
  <c r="I13" i="5"/>
  <c r="J13" i="5"/>
  <c r="R13" i="5"/>
  <c r="I12" i="5"/>
  <c r="E12" i="5"/>
  <c r="H12" i="5"/>
  <c r="R12" i="5"/>
  <c r="G12" i="5"/>
  <c r="F12" i="5"/>
  <c r="X11" i="5"/>
  <c r="G10" i="5"/>
  <c r="H10" i="5"/>
  <c r="J10" i="5"/>
  <c r="R10" i="5"/>
  <c r="F10" i="5"/>
  <c r="I10" i="5"/>
  <c r="X10" i="5"/>
  <c r="G66" i="6"/>
  <c r="X9" i="5"/>
  <c r="G67" i="6"/>
  <c r="G8" i="5"/>
  <c r="H8" i="5"/>
  <c r="J8" i="5"/>
  <c r="R8" i="5"/>
  <c r="E8" i="5"/>
  <c r="F8" i="5"/>
  <c r="G68" i="6"/>
  <c r="X6" i="5"/>
  <c r="G69" i="6" a="1"/>
  <c r="G69" i="6" s="1"/>
  <c r="H69" i="6" s="1"/>
  <c r="G65" i="6"/>
  <c r="H65" i="6" s="1"/>
  <c r="A17" i="6"/>
  <c r="B42" i="6"/>
  <c r="G42" i="6" s="1"/>
  <c r="B26" i="6"/>
  <c r="G26" i="6" s="1"/>
  <c r="B40" i="6"/>
  <c r="G40" i="6" s="1"/>
  <c r="B31" i="6"/>
  <c r="G31" i="6" s="1"/>
  <c r="H44" i="6"/>
  <c r="D44" i="6" s="1"/>
  <c r="F34" i="6"/>
  <c r="H34" i="6" s="1"/>
  <c r="C34" i="6" s="1"/>
  <c r="F45" i="6"/>
  <c r="H45" i="6" s="1"/>
  <c r="F44" i="6"/>
  <c r="B45" i="6"/>
  <c r="G45" i="6" s="1"/>
  <c r="F26" i="6"/>
  <c r="H21" i="6"/>
  <c r="D21" i="6" s="1"/>
  <c r="G20" i="6"/>
  <c r="H20" i="6" s="1"/>
  <c r="C20" i="6" s="1"/>
  <c r="B35" i="6"/>
  <c r="G35" i="6" s="1"/>
  <c r="H24" i="6"/>
  <c r="D24" i="6" s="1"/>
  <c r="B36" i="6"/>
  <c r="G36" i="6" s="1"/>
  <c r="B25" i="6"/>
  <c r="G25" i="6" s="1"/>
  <c r="B58" i="4"/>
  <c r="A41" i="6" s="1"/>
  <c r="K68" i="6"/>
  <c r="D22" i="6"/>
  <c r="C17" i="6"/>
  <c r="F27" i="6"/>
  <c r="F54" i="6" s="1"/>
  <c r="F59" i="6" s="1"/>
  <c r="H59" i="6" s="1"/>
  <c r="D59" i="6" s="1"/>
  <c r="C15" i="6"/>
  <c r="C22" i="6"/>
  <c r="B85" i="4"/>
  <c r="A60" i="6" s="1"/>
  <c r="B37" i="4"/>
  <c r="A23" i="6" s="1"/>
  <c r="B81" i="4"/>
  <c r="A58" i="6" s="1"/>
  <c r="B67" i="4"/>
  <c r="A48" i="6" s="1"/>
  <c r="B77" i="4"/>
  <c r="A55" i="6" s="1"/>
  <c r="B79" i="4"/>
  <c r="A57" i="6" s="1"/>
  <c r="B43" i="4"/>
  <c r="A28" i="6" s="1"/>
  <c r="B89" i="4"/>
  <c r="A63" i="6" s="1"/>
  <c r="B31" i="4"/>
  <c r="A18" i="6" s="1"/>
  <c r="B87" i="4"/>
  <c r="A62" i="6" s="1"/>
  <c r="B75" i="4"/>
  <c r="A54" i="6" s="1"/>
  <c r="B55" i="4"/>
  <c r="A38" i="6" s="1"/>
  <c r="B83" i="4"/>
  <c r="A59" i="6" s="1"/>
  <c r="B61" i="4"/>
  <c r="A43" i="6" s="1"/>
  <c r="B49" i="4"/>
  <c r="A33" i="6" s="1"/>
  <c r="F67" i="6"/>
  <c r="F46" i="6"/>
  <c r="H46" i="6" s="1"/>
  <c r="D46" i="6" s="1"/>
  <c r="F31" i="6"/>
  <c r="H31" i="6" s="1"/>
  <c r="D31" i="6" s="1"/>
  <c r="K67" i="6"/>
  <c r="H26" i="6"/>
  <c r="D26" i="6" s="1"/>
  <c r="F51" i="6"/>
  <c r="H51" i="6" s="1"/>
  <c r="D51" i="6" s="1"/>
  <c r="C26" i="6"/>
  <c r="C21" i="6"/>
  <c r="C16" i="6"/>
  <c r="D20" i="6"/>
  <c r="K66" i="6"/>
  <c r="H30" i="6"/>
  <c r="D30" i="6" s="1"/>
  <c r="F50" i="6"/>
  <c r="H50" i="6" s="1"/>
  <c r="D50" i="6" s="1"/>
  <c r="B57" i="4"/>
  <c r="A40" i="6" s="1"/>
  <c r="F66" i="6"/>
  <c r="F40" i="6"/>
  <c r="H40" i="6" s="1"/>
  <c r="D40" i="6" s="1"/>
  <c r="F35" i="6"/>
  <c r="H35" i="6" s="1"/>
  <c r="D35" i="6" s="1"/>
  <c r="H25" i="6"/>
  <c r="D25" i="6" s="1"/>
  <c r="B63" i="4"/>
  <c r="A45" i="6" s="1"/>
  <c r="B69" i="4"/>
  <c r="A50" i="6" s="1"/>
  <c r="F39" i="6"/>
  <c r="H39" i="6" s="1"/>
  <c r="F29" i="6"/>
  <c r="H29" i="6" s="1"/>
  <c r="B65" i="4"/>
  <c r="A47" i="6" s="1"/>
  <c r="B53" i="4"/>
  <c r="A37" i="6" s="1"/>
  <c r="K65" i="6"/>
  <c r="C49" i="6"/>
  <c r="B2" i="6"/>
  <c r="C19" i="6"/>
  <c r="C14" i="6"/>
  <c r="C24" i="6"/>
  <c r="C7" i="6"/>
  <c r="B50" i="4"/>
  <c r="A34" i="6" s="1"/>
  <c r="C11" i="6"/>
  <c r="C10" i="6"/>
  <c r="C9" i="6"/>
  <c r="A14" i="6"/>
  <c r="B64" i="4"/>
  <c r="A46" i="6" s="1"/>
  <c r="C8" i="6"/>
  <c r="B51" i="4"/>
  <c r="A35" i="6" s="1"/>
  <c r="C5" i="6"/>
  <c r="G31" i="4"/>
  <c r="C4" i="6"/>
  <c r="G61" i="4"/>
  <c r="B52" i="4"/>
  <c r="A36" i="6" s="1"/>
  <c r="C12" i="6"/>
  <c r="D61" i="4"/>
  <c r="B71" i="4"/>
  <c r="A52" i="6" s="1"/>
  <c r="D37" i="4"/>
  <c r="B33" i="4"/>
  <c r="A20" i="6" s="1"/>
  <c r="G64" i="6"/>
  <c r="A24" i="6"/>
  <c r="B68" i="4"/>
  <c r="A49" i="6" s="1"/>
  <c r="B56" i="4"/>
  <c r="A39" i="6" s="1"/>
  <c r="D49" i="4"/>
  <c r="D31" i="4"/>
  <c r="D55" i="4"/>
  <c r="D43" i="4"/>
  <c r="D67" i="4"/>
  <c r="B70" i="4"/>
  <c r="A51" i="6" s="1"/>
  <c r="G67" i="4"/>
  <c r="G74" i="4"/>
  <c r="G55" i="4"/>
  <c r="G49" i="4"/>
  <c r="G37" i="4"/>
  <c r="A27" i="6"/>
  <c r="A16" i="6"/>
  <c r="B34" i="4"/>
  <c r="A21" i="6" s="1"/>
  <c r="S14" i="5"/>
  <c r="S11" i="5"/>
  <c r="S10" i="5"/>
  <c r="S9" i="5"/>
  <c r="T7" i="5"/>
  <c r="T5" i="5"/>
  <c r="S6" i="5"/>
  <c r="X13" i="5" l="1"/>
  <c r="X12" i="5"/>
  <c r="H66" i="6"/>
  <c r="D66" i="6" s="1"/>
  <c r="H67" i="6"/>
  <c r="D67" i="6" s="1"/>
  <c r="X8" i="5"/>
  <c r="D65" i="6"/>
  <c r="C65" i="6"/>
  <c r="D45" i="6"/>
  <c r="C45" i="6"/>
  <c r="C51" i="6"/>
  <c r="C30" i="6"/>
  <c r="C46" i="6"/>
  <c r="C35" i="6"/>
  <c r="F41" i="6"/>
  <c r="H41" i="6" s="1"/>
  <c r="F36" i="6"/>
  <c r="H36" i="6" s="1"/>
  <c r="C44" i="6"/>
  <c r="C25" i="6"/>
  <c r="F42" i="6"/>
  <c r="H42" i="6" s="1"/>
  <c r="H27" i="6"/>
  <c r="F68" i="6"/>
  <c r="H68" i="6" s="1"/>
  <c r="F52" i="6"/>
  <c r="H52" i="6" s="1"/>
  <c r="F47" i="6"/>
  <c r="H47" i="6" s="1"/>
  <c r="F37" i="6"/>
  <c r="H37" i="6" s="1"/>
  <c r="F32" i="6"/>
  <c r="H32" i="6" s="1"/>
  <c r="F62" i="6"/>
  <c r="H62" i="6" s="1"/>
  <c r="D62" i="6" s="1"/>
  <c r="F60" i="6"/>
  <c r="H60" i="6" s="1"/>
  <c r="D60" i="6" s="1"/>
  <c r="C31" i="6"/>
  <c r="C40" i="6"/>
  <c r="C50" i="6"/>
  <c r="F57" i="6"/>
  <c r="H57" i="6" s="1"/>
  <c r="F63" i="6"/>
  <c r="H63" i="6" s="1"/>
  <c r="F55" i="6"/>
  <c r="C59" i="6"/>
  <c r="H54" i="6"/>
  <c r="F58" i="6"/>
  <c r="H58" i="6" s="1"/>
  <c r="D29" i="6"/>
  <c r="C29" i="6"/>
  <c r="D39" i="6"/>
  <c r="C39" i="6"/>
  <c r="D34" i="6"/>
  <c r="B64" i="6"/>
  <c r="H64" i="6"/>
  <c r="T14" i="5"/>
  <c r="S13" i="5"/>
  <c r="S12" i="5"/>
  <c r="T11" i="5"/>
  <c r="T10" i="5"/>
  <c r="T9" i="5"/>
  <c r="S8" i="5"/>
  <c r="T6" i="5"/>
  <c r="C67" i="6" l="1"/>
  <c r="C66" i="6"/>
  <c r="D41" i="6"/>
  <c r="C41" i="6"/>
  <c r="D36" i="6"/>
  <c r="C36" i="6"/>
  <c r="C32" i="6"/>
  <c r="D32" i="6"/>
  <c r="D37" i="6"/>
  <c r="C37" i="6"/>
  <c r="D47" i="6"/>
  <c r="C47" i="6"/>
  <c r="D52" i="6"/>
  <c r="C52" i="6"/>
  <c r="C60" i="6"/>
  <c r="D68" i="6"/>
  <c r="C68" i="6"/>
  <c r="C62" i="6"/>
  <c r="D27" i="6"/>
  <c r="C27" i="6"/>
  <c r="D42" i="6"/>
  <c r="C42" i="6"/>
  <c r="D58" i="6"/>
  <c r="C58" i="6"/>
  <c r="D54" i="6"/>
  <c r="C54" i="6"/>
  <c r="F56" i="6"/>
  <c r="H56" i="6" s="1"/>
  <c r="H55" i="6"/>
  <c r="D63" i="6"/>
  <c r="C63" i="6"/>
  <c r="D57" i="6"/>
  <c r="C57" i="6"/>
  <c r="D64" i="6"/>
  <c r="C64" i="6"/>
  <c r="T13" i="5"/>
  <c r="T12" i="5"/>
  <c r="T8" i="5"/>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<sst xmlns="http://schemas.openxmlformats.org/spreadsheetml/2006/main" count="22384" uniqueCount="15813">
  <si>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</si>
  <si>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</si>
  <si>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</si>
  <si>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</si>
  <si>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</si>
  <si>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</si>
  <si>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</si>
  <si>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</si>
  <si>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</si>
  <si>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</si>
  <si>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</si>
  <si>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</si>
  <si>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</si>
  <si>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</si>
  <si>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</si>
  <si>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</si>
  <si>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</si>
  <si>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</si>
  <si>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</si>
  <si>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</si>
  <si>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</si>
  <si>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</si>
  <si>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</si>
  <si>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</si>
  <si>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</si>
  <si>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</si>
  <si>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</si>
  <si>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</si>
  <si>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</si>
  <si>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</si>
  <si>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</si>
  <si>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</si>
  <si>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</si>
  <si>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</si>
  <si>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</si>
  <si>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</si>
  <si>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</si>
  <si>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</si>
  <si>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</si>
  <si>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</si>
  <si>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</si>
  <si>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</si>
  <si>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</si>
  <si>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</si>
  <si>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</si>
  <si>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</si>
  <si>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</si>
  <si>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</si>
  <si>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</si>
  <si>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</si>
  <si>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</si>
  <si>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</si>
  <si>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</si>
  <si>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</si>
  <si>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</si>
  <si>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</si>
  <si>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</si>
  <si>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</si>
  <si>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</si>
  <si>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</si>
  <si>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</si>
  <si>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</si>
  <si>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</si>
  <si>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</si>
  <si>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</si>
  <si>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</si>
  <si>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</si>
  <si>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</si>
  <si>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</si>
  <si>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</si>
  <si>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</si>
  <si>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</si>
  <si>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</si>
  <si>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</si>
  <si>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</si>
  <si>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</si>
  <si>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</si>
  <si>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</si>
  <si>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</si>
  <si>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</si>
  <si>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</si>
  <si>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</si>
  <si>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</si>
  <si>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</si>
  <si>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</si>
  <si>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</si>
  <si>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</si>
  <si>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</si>
  <si>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</si>
  <si>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</si>
  <si>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</si>
  <si>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</si>
  <si>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</si>
  <si>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</si>
  <si>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</si>
  <si>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</si>
  <si>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</si>
  <si>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</si>
  <si>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</si>
  <si>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</si>
  <si>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</si>
  <si>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</si>
  <si>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</si>
  <si>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</si>
  <si>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</si>
  <si>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</si>
  <si>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</si>
  <si>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</si>
  <si>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</si>
  <si>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</si>
  <si>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</si>
  <si>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</si>
  <si>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</si>
  <si>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</si>
  <si>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</si>
  <si>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</si>
  <si>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</si>
  <si>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</si>
  <si>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</si>
  <si>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</si>
  <si>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</si>
  <si>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</si>
  <si>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</si>
  <si>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</si>
  <si>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</si>
  <si>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</si>
  <si>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</si>
  <si>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</si>
  <si>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</si>
  <si>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</si>
  <si>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</si>
  <si>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</si>
  <si>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</si>
  <si>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</si>
  <si>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</si>
  <si>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</si>
  <si>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</si>
  <si>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</si>
  <si>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</si>
  <si>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</si>
  <si>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</si>
  <si>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</si>
  <si>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</si>
  <si>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</si>
  <si>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</si>
  <si>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</si>
  <si>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</si>
  <si>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</si>
  <si>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</si>
  <si>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</si>
  <si>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</si>
  <si>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</si>
  <si>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</si>
  <si>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</si>
  <si>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</si>
  <si>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</si>
  <si>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</si>
  <si>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</si>
  <si>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</si>
  <si>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</si>
  <si>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</si>
  <si>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</si>
  <si>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</si>
  <si>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</si>
  <si>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</si>
  <si>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</si>
  <si>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</si>
  <si>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</si>
  <si>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</si>
  <si>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</si>
  <si>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</si>
  <si>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</si>
  <si>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</si>
  <si>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</si>
  <si>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</si>
  <si>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</si>
  <si>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</si>
  <si>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</si>
  <si>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</si>
  <si>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</si>
  <si>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</si>
  <si>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</si>
  <si>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</si>
  <si>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</si>
  <si>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</si>
  <si>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</si>
  <si>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</si>
  <si>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</si>
  <si>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</si>
  <si>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</si>
  <si>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</si>
  <si>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</si>
  <si>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</si>
  <si>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</si>
  <si>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</si>
  <si>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</si>
  <si>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</si>
  <si>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</si>
  <si>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</si>
  <si>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</si>
  <si>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</si>
  <si>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</si>
  <si>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</si>
  <si>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</si>
  <si>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</si>
  <si>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</si>
  <si>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</si>
  <si>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</si>
  <si>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</si>
  <si>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</si>
  <si>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</si>
  <si>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</si>
  <si>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</si>
  <si>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</si>
  <si>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</si>
  <si>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</si>
  <si>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</si>
  <si>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</si>
  <si>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</si>
  <si>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</si>
  <si>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</si>
  <si>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</si>
  <si>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</si>
  <si>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</si>
  <si>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</si>
  <si>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</si>
  <si>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</si>
  <si>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</si>
  <si>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</si>
  <si>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</si>
  <si>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</si>
  <si>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</si>
  <si>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</si>
  <si>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</si>
  <si>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</si>
  <si>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</si>
  <si>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</si>
  <si>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</si>
  <si>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</si>
  <si>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</si>
  <si>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</si>
  <si>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</si>
  <si>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</si>
  <si>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</si>
  <si>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</si>
  <si>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</si>
  <si>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</si>
  <si>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</si>
  <si>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</si>
  <si>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</si>
  <si>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</si>
  <si>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</si>
  <si>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</si>
  <si>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</si>
  <si>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</si>
  <si>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</si>
  <si>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</si>
  <si>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</si>
  <si>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</si>
  <si>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</si>
  <si>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</si>
  <si>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</si>
  <si>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</si>
  <si>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</si>
  <si>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</si>
  <si>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</si>
  <si>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</si>
  <si>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</si>
  <si>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</si>
  <si>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</si>
  <si>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</si>
  <si>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</si>
  <si>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</si>
  <si>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</si>
  <si>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</si>
  <si>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</si>
  <si>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</si>
  <si>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</si>
  <si>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</si>
  <si>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</si>
  <si>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</si>
  <si>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</si>
  <si>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</si>
  <si>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</si>
  <si>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</si>
  <si>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</si>
  <si>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</si>
  <si>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</si>
  <si>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</si>
  <si>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</si>
  <si>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</si>
  <si>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</si>
  <si>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</si>
  <si>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</si>
  <si>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</si>
  <si>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</si>
  <si>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</si>
  <si>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</si>
  <si>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</si>
  <si>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</si>
  <si>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</si>
  <si>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</si>
  <si>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</si>
  <si>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</si>
  <si>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</si>
  <si>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</si>
  <si>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</si>
  <si>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</si>
  <si>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</si>
  <si>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</si>
  <si>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</si>
  <si>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</si>
  <si>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</si>
  <si>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</si>
  <si>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</si>
  <si>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</si>
  <si>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</si>
  <si>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</si>
  <si>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</si>
  <si>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</si>
  <si>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</si>
  <si>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</si>
  <si>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</si>
  <si>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</si>
  <si>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</si>
  <si>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</si>
  <si>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</si>
  <si>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</si>
  <si>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</si>
  <si>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</si>
  <si>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</si>
  <si>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</si>
  <si>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</si>
  <si>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</si>
  <si>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</si>
  <si>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</si>
  <si>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</si>
  <si>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</si>
  <si>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</si>
  <si>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</si>
  <si>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</si>
  <si>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</si>
  <si>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</si>
  <si>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</si>
  <si>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</si>
  <si>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</si>
  <si>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</si>
  <si>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</si>
  <si>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</si>
  <si>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</si>
  <si>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</si>
  <si>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</si>
  <si>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</si>
  <si>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</si>
  <si>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</si>
  <si>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</si>
  <si>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</si>
  <si>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</si>
  <si>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</si>
  <si>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</si>
  <si>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</si>
  <si>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</si>
  <si>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</si>
  <si>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</si>
  <si>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</si>
  <si>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</si>
  <si>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</si>
  <si>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</si>
  <si>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</si>
  <si>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</si>
  <si>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</si>
  <si>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</si>
  <si>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</si>
  <si>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</si>
  <si>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</si>
  <si>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</si>
  <si>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</si>
  <si>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</si>
  <si>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</si>
  <si>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</si>
  <si>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</si>
  <si>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</si>
  <si>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</si>
  <si>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</si>
  <si>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</si>
  <si>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</si>
  <si>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</si>
  <si>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</si>
  <si>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</si>
  <si>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</si>
  <si>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</si>
  <si>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</si>
  <si>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</si>
  <si>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</si>
  <si>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</si>
  <si>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</si>
  <si>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</si>
  <si>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</si>
  <si>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</si>
  <si>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</si>
  <si>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</si>
  <si>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</si>
  <si>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</si>
  <si>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</si>
  <si>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</si>
  <si>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</si>
  <si>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</si>
  <si>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</si>
  <si>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</si>
  <si>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</si>
  <si>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</si>
  <si>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</si>
  <si>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</si>
  <si>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</si>
  <si>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</si>
  <si>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</si>
  <si>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</si>
  <si>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</si>
  <si>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</si>
  <si>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</si>
  <si>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</si>
  <si>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</si>
  <si>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</si>
  <si>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</si>
  <si>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</si>
  <si>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</si>
  <si>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</si>
  <si>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</si>
  <si>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</si>
  <si>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</si>
  <si>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</si>
  <si>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</si>
  <si>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</si>
  <si>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</si>
  <si>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</si>
  <si>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</si>
  <si>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</si>
  <si>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</si>
  <si>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</si>
  <si>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</si>
  <si>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</si>
  <si>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</si>
  <si>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</si>
  <si>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</si>
  <si>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</si>
  <si>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</si>
  <si>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</si>
  <si>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</si>
  <si>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</si>
  <si>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</si>
  <si>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</si>
  <si>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</si>
  <si>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</si>
  <si>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</si>
  <si>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</si>
  <si>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</si>
  <si>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</si>
  <si>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</si>
  <si>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</si>
  <si>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</si>
  <si>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</si>
  <si>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</si>
  <si>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</si>
  <si>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</si>
  <si>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</si>
  <si>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</si>
  <si>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</si>
  <si>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</si>
  <si>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</si>
  <si>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</si>
  <si>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</si>
  <si>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</si>
  <si>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</si>
  <si>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</si>
  <si>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</si>
  <si>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</si>
  <si>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</si>
  <si>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</si>
  <si>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</si>
  <si>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</si>
  <si>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</si>
  <si>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</si>
  <si>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</si>
  <si>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</si>
  <si>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</si>
  <si>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</si>
  <si>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</si>
  <si>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</si>
  <si>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</si>
  <si>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</si>
  <si>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</si>
  <si>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</si>
  <si>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</si>
  <si>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</si>
  <si>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</si>
  <si>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</si>
  <si>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</si>
  <si>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</si>
  <si>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</si>
  <si>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</si>
  <si>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</si>
  <si>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</si>
  <si>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</si>
  <si>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</si>
  <si>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</si>
  <si>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</si>
  <si>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</si>
  <si>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</si>
  <si>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</si>
  <si>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</si>
  <si>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</si>
  <si>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</si>
  <si>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</si>
  <si>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</si>
  <si>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</si>
  <si>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</si>
  <si>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</si>
  <si>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</si>
  <si>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</si>
  <si>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</si>
  <si>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</si>
  <si>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</si>
  <si>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</si>
  <si>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</si>
  <si>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</si>
  <si>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</si>
  <si>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</si>
  <si>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</si>
  <si>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</si>
  <si>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</si>
  <si>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</si>
  <si>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</si>
  <si>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</si>
  <si>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</si>
  <si>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</si>
  <si>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</si>
  <si>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</si>
  <si>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</si>
  <si>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</si>
  <si>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</si>
  <si>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</si>
  <si>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</si>
  <si>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</si>
  <si>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</si>
  <si>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</si>
  <si>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</si>
  <si>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</si>
  <si>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</si>
  <si>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</si>
  <si>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</si>
  <si>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</si>
  <si>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</si>
  <si>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</si>
  <si>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</si>
  <si>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</si>
  <si>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</si>
  <si>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</si>
  <si>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</si>
  <si>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</si>
  <si>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</si>
  <si>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</si>
  <si>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</si>
  <si>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</si>
  <si>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</si>
  <si>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</si>
  <si>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</si>
  <si>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</si>
  <si>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</si>
  <si>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</si>
  <si>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</si>
  <si>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</si>
  <si>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</si>
  <si>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</si>
  <si>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</si>
  <si>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</si>
  <si>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</si>
  <si>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</si>
  <si>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</si>
  <si>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</si>
  <si>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</si>
  <si>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</si>
  <si>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</si>
  <si>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</si>
  <si>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</si>
  <si>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</si>
  <si>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</si>
  <si>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</si>
  <si>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</si>
  <si>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</si>
  <si>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</si>
  <si>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</si>
  <si>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</si>
  <si>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</si>
  <si>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</si>
  <si>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</si>
  <si>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</si>
  <si>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</si>
  <si>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</si>
  <si>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</si>
  <si>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</si>
  <si>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</si>
  <si>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</si>
  <si>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</si>
  <si>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</si>
  <si>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</si>
  <si>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</si>
  <si>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</si>
  <si>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</si>
  <si>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</si>
  <si>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</si>
  <si>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</si>
  <si>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</si>
  <si>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</si>
  <si>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</si>
  <si>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</si>
  <si>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</si>
  <si>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</si>
  <si>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</si>
  <si>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</si>
  <si>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</si>
  <si>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</si>
  <si>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</si>
  <si>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</si>
  <si>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</si>
  <si>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</si>
  <si>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</si>
  <si>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</si>
  <si>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</si>
  <si>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</si>
  <si>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</si>
  <si>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</si>
  <si>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</si>
  <si>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</si>
  <si>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</si>
  <si>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</si>
  <si>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</si>
  <si>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</si>
  <si>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</si>
  <si>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</si>
  <si>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</si>
  <si>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</si>
  <si>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</si>
  <si>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</si>
  <si>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</si>
  <si>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</si>
  <si>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</si>
  <si>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</si>
  <si>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</si>
  <si>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</si>
  <si>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</si>
  <si>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</si>
  <si>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</si>
  <si>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</si>
  <si>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</si>
  <si>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</si>
  <si>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</si>
  <si>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</si>
  <si>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</si>
  <si>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</si>
  <si>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</si>
  <si>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</si>
  <si>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</si>
  <si>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</si>
  <si>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</si>
  <si>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</si>
  <si>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</si>
  <si>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</si>
  <si>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</si>
  <si>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</si>
  <si>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</si>
  <si>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</si>
  <si>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</si>
  <si>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</si>
  <si>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</si>
  <si>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</si>
  <si>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</si>
  <si>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</si>
  <si>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</si>
  <si>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</si>
  <si>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</si>
  <si>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</si>
  <si>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</si>
  <si>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</si>
  <si>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</si>
  <si>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</si>
  <si>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</si>
  <si>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</si>
  <si>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</si>
  <si>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</si>
  <si>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</si>
  <si>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</si>
  <si>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</si>
  <si>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</si>
  <si>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</si>
  <si>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</si>
  <si>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</si>
  <si>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</si>
  <si>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</si>
  <si>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</si>
  <si>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</si>
  <si>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</si>
  <si>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</si>
  <si>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</si>
  <si>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</si>
  <si>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</si>
  <si>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</si>
  <si>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</si>
  <si>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</si>
  <si>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</si>
  <si>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</si>
  <si>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</si>
  <si>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</si>
  <si>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</si>
  <si>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</si>
  <si>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</si>
  <si>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</si>
  <si>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</si>
  <si>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</si>
  <si>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</si>
  <si>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</si>
  <si>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</si>
  <si>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</si>
  <si>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</si>
  <si>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</si>
  <si>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</si>
  <si>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</si>
  <si>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</si>
  <si>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</si>
  <si>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</si>
  <si>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</si>
  <si>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</si>
  <si>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</si>
  <si>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</si>
  <si>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</si>
  <si>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</si>
  <si>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</si>
  <si>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</si>
  <si>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</si>
  <si>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</si>
  <si>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</si>
  <si>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</si>
  <si>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</si>
  <si>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</si>
  <si>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</si>
  <si>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</si>
  <si>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</si>
  <si>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</si>
  <si>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</si>
  <si>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</si>
  <si>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</si>
  <si>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</si>
  <si>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</si>
  <si>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</si>
  <si>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</si>
  <si>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</si>
  <si>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</si>
  <si>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</si>
  <si>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</si>
  <si>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</si>
  <si>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</si>
  <si>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</si>
  <si>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</si>
  <si>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</si>
  <si>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</si>
  <si>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</si>
  <si>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</si>
  <si>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</si>
  <si>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</si>
  <si>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</si>
  <si>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</si>
  <si>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</si>
  <si>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</si>
  <si>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</si>
  <si>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</si>
  <si>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</si>
  <si>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</si>
  <si>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</si>
  <si>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</si>
  <si>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</si>
  <si>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</si>
  <si>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</si>
  <si>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</si>
  <si>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</si>
  <si>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</si>
  <si>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</si>
  <si>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</si>
  <si>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</si>
  <si>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</si>
  <si>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</si>
  <si>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</si>
  <si>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</si>
  <si>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</si>
  <si>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</si>
  <si>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</si>
  <si>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</si>
  <si>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</si>
  <si>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</si>
  <si>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</si>
  <si>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</si>
  <si>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</si>
  <si>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</si>
  <si>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</si>
  <si>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</si>
  <si>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</si>
  <si>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</si>
  <si>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</si>
  <si>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</si>
  <si>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</si>
  <si>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</si>
  <si>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</si>
  <si>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</si>
  <si>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</si>
  <si>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</si>
  <si>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</si>
  <si>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</si>
  <si>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</si>
  <si>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</si>
  <si>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</si>
  <si>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</si>
  <si>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</si>
  <si>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</si>
  <si>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</si>
  <si>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</si>
  <si>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</si>
  <si>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</si>
  <si>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</si>
  <si>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</si>
  <si>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</si>
  <si>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</si>
  <si>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</si>
  <si>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</si>
  <si>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</si>
  <si>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</si>
  <si>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</si>
  <si>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</si>
  <si>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</si>
  <si>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</si>
  <si>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</si>
  <si>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</si>
  <si>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</si>
  <si>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</si>
  <si>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</si>
  <si>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</si>
  <si>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</si>
  <si>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</si>
  <si>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</si>
  <si>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</si>
  <si>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</si>
  <si>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</si>
  <si>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</si>
  <si>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</si>
  <si>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</si>
  <si>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</si>
  <si>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</si>
  <si>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</si>
  <si>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</si>
  <si>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</si>
  <si>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</si>
  <si>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</si>
  <si>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</si>
  <si>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</si>
  <si>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</si>
  <si>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</si>
  <si>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</si>
  <si>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</si>
  <si>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</si>
  <si>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</si>
  <si>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</si>
  <si>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</si>
  <si>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</si>
  <si>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</si>
  <si>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</si>
  <si>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</si>
  <si>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</si>
  <si>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</si>
  <si>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</si>
  <si>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</si>
  <si>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</si>
  <si>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</si>
  <si>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</si>
  <si>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</si>
  <si>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</si>
  <si>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</si>
  <si>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</si>
  <si>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</si>
  <si>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</si>
  <si>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</si>
  <si>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</si>
  <si>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</si>
  <si>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</si>
  <si>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</si>
  <si>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</si>
  <si>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</si>
  <si>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</si>
  <si>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</si>
  <si>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</si>
  <si>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</si>
  <si>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</si>
  <si>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</si>
  <si>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</si>
  <si>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</si>
  <si>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</si>
  <si>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</si>
  <si>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</si>
  <si>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</si>
  <si>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</si>
  <si>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</si>
  <si>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</si>
  <si>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</si>
  <si>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</si>
  <si>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</si>
  <si>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</si>
  <si>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</si>
  <si>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</si>
  <si>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</si>
  <si>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</si>
  <si>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</si>
  <si>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</si>
  <si>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</si>
  <si>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</si>
  <si>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</si>
  <si>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</si>
  <si>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</si>
  <si>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</si>
  <si>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</si>
  <si>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</si>
  <si>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</si>
  <si>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</si>
  <si>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</si>
  <si>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</si>
  <si>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</si>
  <si>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</si>
  <si>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</si>
  <si>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</si>
  <si>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</si>
  <si>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</si>
  <si>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</si>
  <si>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</si>
  <si>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</si>
  <si>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</si>
  <si>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</si>
  <si>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</si>
  <si>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</si>
  <si>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</si>
  <si>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</si>
  <si>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</si>
  <si>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</si>
  <si>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</si>
  <si>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</si>
  <si>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</si>
  <si>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</si>
  <si>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</si>
  <si>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</si>
  <si>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</si>
  <si>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</si>
  <si>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</si>
  <si>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</si>
  <si>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</si>
  <si>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</si>
  <si>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</si>
  <si>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</si>
  <si>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</si>
  <si>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</si>
  <si>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</si>
  <si>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</si>
  <si>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</si>
  <si>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</si>
  <si>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</si>
  <si>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</si>
  <si>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</si>
  <si>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</si>
  <si>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</si>
  <si>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</si>
  <si>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</si>
  <si>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</si>
  <si>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</si>
  <si>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</si>
  <si>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</si>
  <si>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</si>
  <si>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</si>
  <si>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</si>
  <si>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</si>
  <si>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</si>
  <si>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</si>
  <si>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</si>
  <si>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</si>
  <si>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</si>
  <si>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</si>
  <si>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</si>
  <si>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</si>
  <si>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</si>
  <si>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</si>
  <si>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</si>
  <si>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</si>
  <si>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</si>
  <si>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</si>
  <si>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</si>
  <si>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</si>
  <si>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</si>
  <si>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</si>
  <si>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</si>
  <si>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</si>
  <si>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</si>
  <si>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</si>
  <si>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</si>
  <si>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</si>
  <si>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</si>
  <si>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</si>
  <si>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</si>
  <si>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</si>
  <si>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</si>
  <si>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</si>
  <si>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</si>
  <si>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</si>
  <si>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</si>
  <si>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</si>
  <si>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</si>
  <si>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</si>
  <si>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</si>
  <si>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</si>
  <si>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</si>
  <si>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</si>
  <si>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</si>
  <si>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</si>
  <si>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</si>
  <si>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</si>
  <si>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</si>
  <si>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</si>
  <si>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</si>
  <si>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</si>
  <si>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</si>
  <si>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</si>
  <si>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</si>
  <si>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</si>
  <si>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</si>
  <si>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</si>
  <si>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</si>
  <si>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</si>
  <si>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</si>
  <si>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</si>
  <si>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</si>
  <si>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</si>
  <si>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</si>
  <si>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</si>
  <si>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</si>
  <si>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</si>
  <si>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</si>
  <si>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</si>
  <si>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</si>
  <si>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</si>
  <si>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</si>
  <si>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</si>
  <si>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</si>
  <si>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</si>
  <si>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</si>
  <si>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</si>
  <si>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</si>
  <si>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</si>
  <si>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</si>
  <si>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</si>
  <si>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</si>
  <si>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</si>
  <si>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</si>
  <si>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</si>
  <si>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</si>
  <si>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</si>
  <si>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</si>
  <si>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</si>
  <si>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</si>
  <si>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</si>
  <si>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</si>
  <si>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</si>
  <si>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</si>
  <si>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</si>
  <si>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</si>
  <si>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</si>
  <si>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</si>
  <si>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</si>
  <si>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</si>
  <si>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</si>
  <si>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</si>
  <si>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</si>
  <si>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</si>
  <si>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</si>
  <si>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</si>
  <si>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</si>
  <si>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</si>
  <si>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</si>
  <si>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</si>
  <si>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</si>
  <si>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</si>
  <si>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</si>
  <si>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</si>
  <si>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</si>
  <si>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</si>
  <si>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</si>
  <si>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</si>
  <si>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</si>
  <si>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</si>
  <si>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</si>
  <si>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</si>
  <si>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</si>
  <si>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</si>
  <si>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</si>
  <si>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</si>
  <si>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</si>
  <si>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</si>
  <si>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</si>
  <si>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</si>
  <si>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</si>
  <si>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</si>
  <si>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</si>
  <si>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</si>
  <si>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</si>
  <si>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</si>
  <si>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</si>
  <si>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</si>
  <si>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</si>
  <si>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</si>
  <si>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</si>
  <si>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</si>
  <si>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</si>
  <si>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</si>
  <si>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</si>
  <si>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</si>
  <si>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</si>
  <si>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</si>
  <si>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</si>
  <si>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</si>
  <si>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</si>
  <si>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</si>
  <si>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</si>
  <si>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</si>
  <si>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</si>
  <si>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</si>
  <si>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</si>
  <si>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</si>
  <si>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</si>
  <si>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</si>
  <si>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</si>
  <si>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</si>
  <si>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</si>
  <si>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</si>
  <si>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</si>
  <si>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</si>
  <si>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</si>
  <si>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</si>
  <si>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</si>
  <si>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</si>
  <si>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</si>
  <si>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</si>
  <si>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</si>
  <si>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</si>
  <si>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</si>
  <si>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</si>
  <si>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</si>
  <si>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</si>
  <si>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</si>
  <si>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</si>
  <si>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</si>
  <si>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</si>
  <si>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</si>
  <si>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</si>
  <si>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</si>
  <si>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</si>
  <si>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</si>
  <si>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</si>
  <si>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</si>
  <si>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</si>
  <si>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</si>
  <si>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</si>
  <si>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</si>
  <si>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</si>
  <si>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</si>
  <si>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</si>
  <si>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</si>
  <si>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</si>
  <si>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</si>
  <si>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</si>
  <si>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</si>
  <si>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</si>
  <si>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</si>
  <si>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</si>
  <si>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</si>
  <si>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</si>
  <si>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</si>
  <si>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</si>
  <si>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</si>
  <si>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</si>
  <si>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</si>
  <si>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</si>
  <si>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</si>
  <si>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</si>
  <si>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</si>
  <si>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</si>
  <si>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</si>
  <si>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</si>
  <si>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</si>
  <si>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</si>
  <si>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</si>
  <si>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</si>
  <si>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</si>
  <si>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</si>
  <si>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</si>
  <si>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</si>
  <si>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</si>
  <si>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</si>
  <si>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</si>
  <si>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</si>
  <si>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</si>
  <si>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</si>
  <si>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</si>
  <si>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</si>
  <si>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</si>
  <si>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</si>
  <si>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</si>
  <si>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</si>
  <si>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</si>
  <si>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</si>
  <si>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</si>
  <si>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</si>
  <si>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</si>
  <si>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</si>
  <si>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</si>
  <si>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</si>
  <si>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</si>
  <si>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</si>
  <si>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</si>
  <si>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</si>
  <si>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</si>
  <si>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</si>
  <si>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</si>
  <si>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</si>
  <si>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</si>
  <si>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</si>
  <si>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</si>
  <si>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</si>
  <si>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</si>
  <si>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</si>
  <si>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</si>
  <si>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</si>
  <si>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</si>
  <si>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</si>
  <si>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</si>
  <si>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</si>
  <si>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</si>
  <si>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</si>
  <si>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</si>
  <si>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</si>
  <si>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</si>
  <si>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</si>
  <si>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</si>
  <si>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</si>
  <si>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</si>
  <si>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</si>
  <si>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</si>
  <si>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</si>
  <si>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</si>
  <si>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</si>
  <si>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</si>
  <si>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</si>
  <si>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</si>
  <si>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</si>
  <si>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</si>
  <si>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</si>
  <si>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</si>
  <si>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</si>
  <si>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</si>
  <si>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</si>
  <si>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</si>
  <si>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</si>
  <si>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</si>
  <si>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</si>
  <si>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</si>
  <si>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</si>
  <si>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</si>
  <si>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</si>
  <si>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</si>
  <si>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</si>
  <si>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</si>
  <si>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</si>
  <si>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</si>
  <si>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</si>
  <si>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</si>
  <si>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</si>
  <si>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</si>
  <si>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</si>
  <si>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</si>
  <si>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</si>
  <si>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</si>
  <si>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</si>
  <si>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</si>
  <si>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</si>
  <si>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</si>
  <si>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</si>
  <si>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</si>
  <si>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</si>
  <si>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</si>
  <si>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</si>
  <si>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</si>
  <si>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</si>
  <si>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</si>
  <si>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</si>
  <si>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</si>
  <si>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</si>
  <si>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</si>
  <si>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</si>
  <si>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</si>
  <si>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</si>
  <si>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</si>
  <si>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</si>
  <si>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</si>
  <si>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</si>
  <si>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</si>
  <si>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</si>
  <si>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</si>
  <si>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</si>
  <si>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</si>
  <si>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</si>
  <si>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</si>
  <si>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</si>
  <si>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</si>
  <si>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</si>
  <si>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</si>
  <si>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</si>
  <si>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</si>
  <si>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</si>
  <si>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</si>
  <si>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</si>
  <si>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</si>
  <si>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</si>
  <si>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</si>
  <si>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</si>
  <si>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</si>
  <si>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</si>
  <si>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</si>
  <si>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</si>
  <si>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</si>
  <si>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</si>
  <si>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</si>
  <si>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</si>
  <si>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</si>
  <si>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</si>
  <si>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</si>
  <si>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</si>
  <si>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</si>
  <si>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</si>
  <si>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</si>
  <si>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</si>
  <si>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</si>
  <si>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</si>
  <si>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</si>
  <si>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</si>
  <si>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</si>
  <si>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</si>
  <si>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</si>
  <si>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</si>
  <si>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</si>
  <si>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</si>
  <si>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</si>
  <si>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</si>
  <si>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</si>
  <si>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</si>
  <si>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</si>
  <si>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</si>
  <si>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</si>
  <si>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</si>
  <si>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</si>
  <si>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</si>
  <si>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</si>
  <si>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</si>
  <si>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</si>
  <si>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</si>
  <si>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</si>
  <si>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</si>
  <si>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</si>
  <si>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</si>
  <si>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</si>
  <si>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</si>
  <si>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</si>
  <si>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</si>
  <si>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</si>
  <si>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</si>
  <si>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</si>
  <si>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</si>
  <si>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</si>
  <si>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</si>
  <si>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</si>
  <si>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</si>
  <si>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</si>
  <si>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</si>
  <si>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</si>
  <si>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</si>
  <si>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</si>
  <si>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</si>
  <si>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</si>
  <si>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</si>
  <si>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</si>
  <si>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</si>
  <si>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</si>
  <si>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</si>
  <si>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</si>
  <si>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</si>
  <si>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</si>
  <si>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</si>
  <si>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</si>
  <si>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</si>
  <si>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</si>
  <si>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</si>
  <si>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</si>
  <si>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</si>
  <si>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</si>
  <si>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</si>
  <si>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</si>
  <si>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</si>
  <si>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</si>
  <si>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</si>
  <si>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</si>
  <si>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</si>
  <si>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</si>
  <si>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</si>
  <si>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</si>
  <si>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</si>
  <si>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</si>
  <si>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</si>
  <si>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</si>
  <si>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</si>
  <si>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</si>
  <si>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</si>
  <si>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</si>
  <si>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</si>
  <si>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</si>
  <si>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</si>
  <si>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</si>
  <si>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</si>
  <si>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</si>
  <si>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</si>
  <si>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</si>
  <si>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</si>
  <si>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</si>
  <si>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</si>
  <si>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</si>
  <si>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</si>
  <si>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</si>
  <si>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</si>
  <si>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</si>
  <si>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</si>
  <si>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</si>
  <si>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</si>
  <si>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</si>
  <si>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</si>
  <si>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</si>
  <si>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</si>
  <si>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</si>
  <si>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</si>
  <si>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</si>
  <si>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</si>
  <si>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</si>
  <si>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</si>
  <si>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</si>
  <si>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</si>
  <si>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</si>
  <si>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</si>
  <si>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</si>
  <si>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</si>
  <si>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</si>
  <si>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</si>
  <si>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</si>
  <si>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</si>
  <si>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</si>
  <si>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</si>
  <si>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</si>
  <si>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</si>
  <si>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</si>
  <si>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</si>
  <si>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</si>
  <si>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</si>
  <si>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</si>
  <si>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</si>
  <si>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</si>
  <si>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</si>
  <si>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</si>
  <si>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</si>
  <si>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</si>
  <si>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</si>
  <si>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</si>
  <si>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</si>
  <si>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</si>
  <si>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</si>
  <si>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</si>
  <si>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</si>
  <si>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</si>
  <si>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</si>
  <si>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</si>
  <si>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</si>
  <si>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</si>
  <si>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</si>
  <si>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</si>
  <si>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</si>
  <si>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</si>
  <si>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</si>
  <si>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</si>
  <si>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</si>
  <si>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</si>
  <si>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</si>
  <si>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</si>
  <si>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</si>
  <si>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</si>
  <si>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</si>
  <si>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</si>
  <si>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</si>
  <si>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</si>
  <si>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</si>
  <si>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</si>
  <si>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</si>
  <si>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</si>
  <si>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</si>
  <si>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</si>
  <si>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</si>
  <si>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</si>
  <si>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</si>
  <si>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</si>
  <si>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</si>
  <si>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</si>
  <si>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</si>
  <si>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</si>
  <si>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</si>
  <si>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</si>
  <si>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</si>
  <si>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</si>
  <si>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</si>
  <si>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</si>
  <si>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</si>
  <si>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</si>
  <si>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</si>
  <si>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</si>
  <si>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</si>
  <si>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</si>
  <si>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</si>
  <si>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</si>
  <si>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</si>
  <si>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</si>
  <si>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</si>
  <si>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</si>
  <si>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</si>
  <si>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</si>
  <si>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</si>
  <si>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</si>
  <si>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</si>
  <si>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</si>
  <si>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</si>
  <si>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</si>
  <si>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</si>
  <si>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</si>
  <si>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</si>
  <si>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</si>
  <si>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</si>
  <si>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</si>
  <si>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</si>
  <si>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</si>
  <si>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</si>
  <si>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</si>
  <si>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</si>
  <si>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</si>
  <si>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</si>
  <si>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</si>
  <si>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</si>
  <si>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</si>
  <si>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</si>
  <si>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</si>
  <si>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</si>
  <si>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</si>
  <si>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</si>
  <si>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</si>
  <si>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</si>
  <si>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</si>
  <si>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</si>
  <si>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</si>
  <si>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</si>
  <si>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</si>
  <si>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</si>
  <si>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</si>
  <si>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</si>
  <si>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</si>
  <si>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</si>
  <si>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</si>
  <si>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</si>
  <si>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</si>
  <si>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</si>
  <si>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</si>
  <si>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</si>
  <si>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</si>
  <si>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</si>
  <si>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</si>
  <si>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</si>
  <si>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</si>
  <si>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</si>
  <si>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</si>
  <si>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</si>
  <si>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</si>
  <si>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</si>
  <si>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</si>
  <si>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</si>
  <si>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</si>
  <si>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</si>
  <si>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</si>
  <si>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</si>
  <si>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</si>
  <si>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</si>
  <si>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</si>
  <si>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</si>
  <si>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</si>
  <si>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</si>
  <si>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</si>
  <si>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</si>
  <si>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</si>
  <si>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</si>
  <si>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</si>
  <si>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</si>
  <si>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</si>
  <si>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</si>
  <si>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</si>
  <si>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</si>
  <si>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</si>
  <si>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</si>
  <si>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</si>
  <si>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</si>
  <si>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</si>
  <si>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</si>
  <si>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</si>
  <si>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</si>
  <si>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</si>
  <si>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</si>
  <si>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</si>
  <si>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</si>
  <si>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</si>
  <si>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</si>
  <si>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</si>
  <si>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</si>
  <si>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</si>
  <si>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</si>
  <si>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</si>
  <si>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</si>
  <si>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</si>
  <si>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</si>
  <si>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</si>
  <si>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</si>
  <si>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</si>
  <si>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</si>
  <si>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</si>
  <si>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</si>
  <si>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</si>
  <si>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</si>
  <si>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</si>
  <si>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</si>
  <si>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</si>
  <si>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</si>
  <si>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</si>
  <si>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</si>
  <si>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</si>
  <si>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</si>
  <si>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</si>
  <si>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</si>
  <si>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</si>
  <si>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</si>
  <si>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</si>
  <si>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</si>
  <si>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</si>
  <si>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</si>
  <si>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</si>
  <si>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</si>
  <si>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</si>
  <si>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</si>
  <si>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</si>
  <si>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</si>
  <si>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</si>
  <si>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</si>
  <si>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</si>
  <si>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</si>
  <si>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</si>
  <si>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</si>
  <si>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</si>
  <si>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</si>
  <si>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</si>
  <si>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</si>
  <si>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</si>
  <si>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</si>
  <si>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</si>
  <si>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</si>
  <si>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</si>
  <si>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</si>
  <si>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</si>
  <si>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</si>
  <si>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</si>
  <si>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</si>
  <si>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</si>
  <si>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</si>
  <si>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</si>
  <si>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</si>
  <si>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</si>
  <si>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</si>
  <si>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</si>
  <si>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</si>
  <si>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</si>
  <si>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</si>
  <si>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</si>
  <si>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</si>
  <si>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</si>
  <si>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</si>
  <si>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</si>
  <si>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</si>
  <si>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</si>
  <si>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</si>
  <si>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</si>
  <si>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</si>
  <si>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</si>
  <si>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</si>
  <si>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</si>
  <si>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</si>
  <si>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</si>
  <si>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</si>
  <si>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</si>
  <si>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</si>
  <si>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</si>
  <si>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</si>
  <si>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</si>
  <si>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</si>
  <si>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</si>
  <si>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</si>
  <si>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</si>
  <si>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</si>
  <si>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</si>
  <si>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</si>
  <si>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</si>
  <si>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</si>
  <si>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</si>
  <si>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</si>
  <si>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</si>
  <si>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</si>
  <si>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</si>
  <si>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</si>
  <si>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</si>
  <si>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</si>
  <si>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</si>
  <si>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</si>
  <si>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</si>
  <si>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</si>
  <si>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</si>
  <si>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</si>
  <si>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</si>
  <si>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</si>
  <si>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</si>
  <si>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</si>
  <si>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</si>
  <si>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</si>
  <si>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</si>
  <si>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</si>
  <si>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</si>
  <si>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</si>
  <si>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</si>
  <si>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</si>
  <si>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</si>
  <si>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</si>
  <si>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</si>
  <si>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</si>
  <si>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</si>
  <si>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</si>
  <si>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</si>
  <si>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</si>
  <si>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</si>
  <si>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</si>
  <si>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</si>
  <si>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</si>
  <si>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</si>
  <si>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</si>
  <si>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</si>
  <si>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</si>
  <si>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</si>
  <si>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</si>
  <si>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</si>
  <si>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</si>
  <si>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</si>
  <si>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</si>
  <si>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</si>
  <si>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</si>
  <si>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</si>
  <si>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</si>
  <si>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</si>
  <si>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</si>
  <si>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</si>
  <si>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</si>
  <si>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</si>
  <si>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</si>
  <si>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</si>
  <si>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</si>
  <si>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</si>
  <si>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</si>
  <si>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</si>
  <si>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</si>
  <si>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</si>
  <si>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</si>
  <si>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</si>
  <si>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</si>
  <si>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</si>
  <si>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</si>
  <si>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</si>
  <si>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</si>
  <si>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</si>
  <si>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</si>
  <si>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</si>
  <si>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</si>
  <si>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</si>
  <si>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</si>
  <si>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</si>
  <si>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</si>
  <si>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</si>
  <si>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</si>
  <si>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</si>
  <si>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</si>
  <si>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</si>
  <si>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</si>
  <si>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</si>
  <si>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</si>
  <si>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</si>
  <si>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</si>
  <si>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</si>
  <si>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</si>
  <si>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</si>
  <si>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</si>
  <si>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</si>
  <si>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</si>
  <si>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</si>
  <si>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</si>
  <si>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</si>
  <si>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</si>
  <si>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</si>
  <si>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</si>
  <si>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</si>
  <si>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</si>
  <si>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</si>
  <si>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</si>
  <si>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</si>
  <si>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</si>
  <si>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</si>
  <si>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</si>
  <si>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</si>
  <si>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</si>
  <si>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</si>
  <si>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</si>
  <si>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</si>
  <si>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</si>
  <si>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</si>
  <si>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</si>
  <si>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</si>
  <si>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</si>
  <si>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</si>
  <si>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</si>
  <si>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</si>
  <si>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</si>
  <si>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</si>
  <si>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</si>
  <si>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</si>
  <si>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</si>
  <si>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</si>
  <si>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</si>
  <si>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</si>
  <si>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</si>
  <si>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</si>
  <si>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</si>
  <si>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</si>
  <si>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</si>
  <si>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</si>
  <si>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</si>
  <si>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</si>
  <si>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</si>
  <si>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</si>
  <si>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</si>
  <si>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</si>
  <si>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</si>
  <si>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</si>
  <si>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</si>
  <si>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</si>
  <si>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</si>
  <si>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</si>
  <si>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</si>
  <si>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</si>
  <si>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</si>
  <si>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</si>
  <si>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</si>
  <si>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</si>
  <si>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</si>
  <si>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</si>
  <si>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</si>
  <si>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</si>
  <si>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</si>
  <si>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</si>
  <si>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</si>
  <si>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</si>
  <si>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</si>
  <si>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</si>
  <si>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</si>
  <si>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</si>
  <si>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</si>
  <si>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</si>
  <si>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</si>
  <si>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</si>
  <si>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</si>
  <si>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</si>
  <si>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</si>
  <si>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</si>
  <si>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</si>
  <si>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</si>
  <si>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</si>
  <si>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</si>
  <si>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</si>
  <si>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</si>
  <si>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</si>
  <si>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</si>
  <si>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</si>
  <si>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</si>
  <si>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</si>
  <si>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</si>
  <si>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</si>
  <si>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</si>
  <si>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</si>
  <si>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</si>
  <si>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</si>
  <si>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</si>
  <si>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</si>
  <si>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</si>
  <si>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</si>
  <si>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</si>
  <si>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</si>
  <si>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</si>
  <si>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</si>
  <si>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</si>
  <si>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</si>
  <si>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</si>
  <si>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</si>
  <si>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</si>
  <si>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</si>
  <si>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</si>
  <si>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</si>
  <si>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</si>
  <si>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</si>
  <si>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</si>
  <si>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</si>
  <si>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</si>
  <si>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</si>
  <si>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</si>
  <si>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</si>
  <si>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</si>
  <si>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</si>
  <si>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</si>
  <si>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</si>
  <si>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</si>
  <si>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</si>
  <si>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</si>
  <si>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</si>
  <si>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</si>
  <si>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</si>
  <si>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</si>
  <si>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</si>
  <si>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</si>
  <si>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</si>
  <si>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</si>
  <si>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</si>
  <si>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</si>
  <si>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</si>
  <si>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</si>
  <si>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</si>
  <si>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</si>
  <si>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</si>
  <si>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</si>
  <si>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</si>
  <si>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</si>
  <si>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</si>
  <si>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</si>
  <si>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</si>
  <si>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</si>
  <si>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</si>
  <si>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</si>
  <si>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</si>
  <si>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</si>
  <si>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</si>
  <si>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</si>
  <si>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</si>
  <si>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</si>
  <si>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</si>
  <si>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</si>
  <si>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</si>
  <si>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</si>
  <si>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</si>
  <si>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</si>
  <si>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</si>
  <si>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</si>
  <si>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</si>
  <si>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</si>
  <si>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</si>
  <si>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</si>
  <si>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</si>
  <si>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</si>
  <si>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</si>
  <si>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</si>
  <si>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</si>
  <si>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</si>
  <si>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</si>
  <si>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</si>
  <si>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</si>
  <si>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</si>
  <si>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</si>
  <si>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</si>
  <si>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</si>
  <si>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</si>
  <si>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</si>
  <si>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</si>
  <si>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</si>
  <si>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</si>
  <si>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</si>
  <si>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</si>
  <si>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</si>
  <si>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</si>
  <si>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</si>
  <si>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</si>
  <si>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</si>
  <si>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</si>
  <si>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</si>
  <si>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</si>
  <si>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</si>
  <si>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</si>
  <si>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</si>
  <si>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</si>
  <si>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</si>
  <si>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</si>
  <si>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</si>
  <si>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</si>
  <si>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</si>
  <si>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</si>
  <si>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</si>
  <si>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</si>
  <si>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</si>
  <si>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</si>
  <si>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</si>
  <si>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</si>
  <si>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</si>
  <si>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</si>
  <si>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</si>
  <si>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</si>
  <si>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</si>
  <si>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</si>
  <si>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</si>
  <si>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</si>
  <si>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</si>
  <si>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</si>
  <si>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</si>
  <si>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</si>
  <si>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</si>
  <si>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</si>
  <si>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</si>
  <si>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</si>
  <si>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</si>
  <si>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</si>
  <si>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</si>
  <si>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</si>
  <si>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</si>
  <si>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</si>
  <si>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</si>
  <si>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</si>
  <si>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</si>
  <si>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</si>
  <si>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</si>
  <si>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</si>
  <si>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</si>
  <si>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</si>
  <si>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</si>
  <si>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</si>
  <si>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</si>
  <si>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</si>
  <si>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</si>
  <si>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</si>
  <si>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</si>
  <si>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</si>
  <si>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</si>
  <si>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</si>
  <si>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</si>
  <si>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</si>
  <si>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</si>
  <si>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</si>
  <si>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</si>
  <si>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</si>
  <si>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</si>
  <si>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</si>
  <si>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</si>
  <si>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</si>
  <si>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</si>
  <si>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</si>
  <si>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</si>
  <si>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</si>
  <si>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</si>
  <si>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</si>
  <si>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</si>
  <si>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</si>
  <si>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</si>
  <si>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</si>
  <si>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</si>
  <si>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</si>
  <si>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</si>
  <si>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</si>
  <si>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</si>
  <si>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</si>
  <si>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</si>
  <si>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</si>
  <si>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</si>
  <si>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</si>
  <si>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</si>
  <si>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</si>
  <si>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</si>
  <si>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</si>
  <si>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</si>
  <si>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</si>
  <si>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</si>
  <si>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</si>
  <si>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</si>
  <si>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</si>
  <si>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</si>
  <si>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</si>
  <si>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</si>
  <si>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</si>
  <si>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</si>
  <si>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</si>
  <si>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</si>
  <si>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</si>
  <si>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</si>
  <si>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</si>
  <si>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</si>
  <si>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</si>
  <si>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</si>
  <si>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</si>
  <si>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</si>
  <si>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</si>
  <si>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</si>
  <si>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</si>
  <si>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</si>
  <si>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</si>
  <si>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</si>
  <si>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</si>
  <si>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</si>
  <si>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</si>
  <si>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</si>
  <si>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</si>
  <si>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</si>
  <si>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</si>
  <si>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</si>
  <si>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</si>
  <si>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</si>
  <si>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</si>
  <si>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</si>
  <si>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</si>
  <si>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</si>
  <si>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</si>
  <si>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</si>
  <si>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</si>
  <si>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</si>
  <si>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</si>
  <si>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</si>
  <si>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</si>
  <si>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</si>
  <si>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</si>
  <si>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</si>
  <si>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</si>
  <si>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</si>
  <si>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</si>
  <si>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</si>
  <si>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</si>
  <si>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</si>
  <si>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</si>
  <si>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</si>
  <si>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</si>
  <si>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</si>
  <si>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</si>
  <si>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</si>
  <si>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</si>
  <si>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</si>
  <si>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</si>
  <si>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</si>
  <si>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</si>
  <si>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</si>
  <si>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</si>
  <si>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</si>
  <si>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</si>
  <si>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</si>
  <si>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</si>
  <si>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</si>
  <si>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</si>
  <si>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</si>
  <si>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</si>
  <si>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</si>
  <si>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</si>
  <si>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</si>
  <si>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</si>
  <si>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</si>
  <si>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</si>
  <si>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</si>
  <si>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</si>
  <si>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</si>
  <si>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</si>
  <si>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</si>
  <si>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</si>
  <si>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</si>
  <si>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</si>
  <si>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</si>
  <si>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</si>
  <si>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</si>
  <si>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</si>
  <si>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</si>
  <si>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</si>
  <si>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</si>
  <si>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</si>
  <si>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</si>
  <si>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</si>
  <si>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</si>
  <si>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</si>
  <si>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</si>
  <si>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</si>
  <si>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</si>
  <si>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</si>
  <si>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</si>
  <si>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</si>
  <si>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</si>
  <si>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</si>
  <si>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</si>
  <si>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</si>
  <si>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</si>
  <si>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</si>
  <si>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</si>
  <si>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</si>
  <si>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</si>
  <si>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</si>
  <si>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</si>
  <si>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</si>
  <si>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</si>
  <si>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</si>
  <si>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</si>
  <si>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</si>
  <si>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</si>
  <si>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</si>
  <si>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</si>
  <si>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</si>
  <si>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</si>
  <si>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</si>
  <si>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</si>
  <si>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</si>
  <si>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</si>
  <si>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</si>
  <si>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</si>
  <si>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</si>
  <si>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</si>
  <si>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</si>
  <si>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</si>
  <si>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</si>
  <si>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</si>
  <si>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</si>
  <si>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</si>
  <si>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</si>
  <si>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</si>
  <si>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</si>
  <si>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</si>
  <si>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</si>
  <si>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</si>
  <si>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</si>
  <si>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</si>
  <si>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</si>
  <si>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</si>
  <si>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</si>
  <si>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</si>
  <si>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</si>
  <si>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</si>
  <si>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</si>
  <si>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</si>
  <si>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</si>
  <si>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</si>
  <si>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</si>
  <si>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</si>
  <si>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</si>
  <si>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</si>
  <si>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</si>
  <si>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</si>
  <si>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</si>
  <si>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</si>
  <si>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</si>
  <si>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</si>
  <si>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</si>
  <si>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</si>
  <si>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</si>
  <si>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</si>
  <si>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</si>
  <si>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</si>
  <si>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</si>
  <si>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</si>
  <si>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</si>
  <si>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</si>
  <si>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</si>
  <si>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</si>
  <si>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</si>
  <si>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</si>
  <si>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</si>
  <si>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</si>
  <si>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</si>
  <si>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</si>
  <si>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</si>
  <si>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</si>
  <si>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</si>
  <si>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</si>
  <si>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</si>
  <si>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</si>
  <si>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</si>
  <si>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</si>
  <si>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</si>
  <si>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</si>
  <si>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</si>
  <si>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</si>
  <si>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</si>
  <si>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</si>
  <si>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</si>
  <si>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</si>
  <si>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</si>
  <si>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</si>
  <si>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</si>
  <si>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</si>
  <si>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</si>
  <si>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</si>
  <si>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</si>
  <si>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</si>
  <si>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</si>
  <si>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</si>
  <si>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</si>
  <si>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</si>
  <si>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</si>
  <si>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</si>
  <si>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</si>
  <si>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</si>
  <si>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</si>
  <si>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</si>
  <si>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</si>
  <si>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</si>
  <si>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</si>
  <si>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</si>
  <si>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</si>
  <si>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</si>
  <si>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</si>
  <si>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</si>
  <si>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</si>
  <si>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</si>
  <si>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</si>
  <si>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</si>
  <si>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</si>
  <si>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</si>
  <si>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</si>
  <si>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</si>
  <si>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</si>
  <si>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</si>
  <si>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</si>
  <si>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</si>
  <si>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</si>
  <si>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</si>
  <si>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</si>
  <si>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</si>
  <si>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</si>
  <si>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</si>
  <si>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</si>
  <si>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</si>
  <si>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</si>
  <si>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</si>
  <si>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</si>
  <si>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</si>
  <si>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</si>
  <si>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</si>
  <si>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</si>
  <si>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</si>
  <si>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</si>
  <si>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</si>
  <si>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</si>
  <si>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</si>
  <si>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</si>
  <si>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</si>
  <si>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</si>
  <si>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</si>
  <si>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</si>
  <si>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</si>
  <si>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</si>
  <si>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</si>
  <si>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</si>
  <si>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</si>
  <si>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</si>
  <si>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</si>
  <si>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</si>
  <si>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</si>
  <si>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</si>
  <si>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</si>
  <si>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</si>
  <si>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</si>
  <si>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</si>
  <si>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</si>
  <si>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</si>
  <si>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</si>
  <si>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</si>
  <si>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</si>
  <si>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</si>
  <si>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</si>
  <si>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</si>
  <si>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</si>
  <si>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</si>
  <si>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</si>
  <si>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</si>
  <si>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</si>
  <si>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</si>
  <si>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</si>
  <si>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</si>
  <si>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</si>
  <si>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</si>
  <si>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</si>
  <si>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</si>
  <si>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</si>
  <si>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</si>
  <si>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</si>
  <si>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</si>
  <si>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</si>
  <si>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</si>
  <si>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</si>
  <si>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</si>
  <si>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</si>
  <si>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</si>
  <si>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</si>
  <si>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</si>
  <si>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</si>
  <si>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</si>
  <si>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</si>
  <si>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</si>
  <si>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</si>
  <si>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</si>
  <si>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</si>
  <si>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</si>
  <si>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</si>
  <si>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</si>
  <si>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</si>
  <si>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</si>
  <si>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</si>
  <si>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</si>
  <si>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</si>
  <si>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</si>
  <si>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</si>
  <si>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</si>
  <si>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</si>
  <si>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</si>
  <si>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</si>
  <si>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</si>
  <si>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</si>
  <si>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</si>
  <si>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</si>
  <si>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</si>
  <si>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</si>
  <si>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</si>
  <si>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</si>
  <si>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</si>
  <si>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</si>
  <si>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</si>
  <si>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</si>
  <si>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</si>
  <si>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</si>
  <si>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</si>
  <si>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</si>
  <si>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</si>
  <si>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</si>
  <si>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</si>
  <si>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</si>
  <si>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</si>
  <si>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</si>
  <si>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</si>
  <si>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</si>
  <si>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</si>
  <si>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</si>
  <si>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</si>
  <si>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</si>
  <si>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</si>
  <si>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</si>
  <si>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</si>
  <si>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</si>
  <si>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</si>
  <si>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</si>
  <si>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</si>
  <si>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</si>
  <si>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</si>
  <si>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</si>
  <si>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</si>
  <si>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</si>
  <si>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</si>
  <si>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</si>
  <si>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</si>
  <si>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</si>
  <si>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</si>
  <si>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</si>
  <si>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</si>
  <si>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</si>
  <si>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</si>
  <si>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</si>
  <si>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</si>
  <si>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</si>
  <si>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</si>
  <si>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</si>
  <si>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</si>
  <si>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</si>
  <si>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</si>
  <si>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</si>
  <si>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</si>
  <si>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</si>
  <si>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</si>
  <si>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</si>
  <si>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</si>
  <si>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</si>
  <si>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</si>
  <si>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</si>
  <si>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</si>
  <si>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</si>
  <si>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</si>
  <si>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</si>
  <si>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</si>
  <si>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</si>
  <si>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</si>
  <si>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</si>
  <si>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</si>
  <si>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</si>
  <si>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</si>
  <si>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</si>
  <si>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</si>
  <si>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</si>
  <si>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</si>
  <si>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</si>
  <si>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</si>
  <si>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</si>
  <si>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</si>
  <si>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</si>
  <si>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</si>
  <si>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</si>
  <si>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</si>
  <si>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</si>
  <si>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</si>
  <si>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</si>
  <si>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</si>
  <si>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</si>
  <si>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</si>
  <si>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</si>
  <si>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</si>
  <si>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</si>
  <si>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</si>
  <si>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</si>
  <si>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</si>
  <si>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</si>
  <si>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</si>
  <si>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</si>
  <si>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</si>
  <si>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</si>
  <si>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</si>
  <si>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</si>
  <si>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</si>
  <si>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</si>
  <si>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</si>
  <si>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</si>
  <si>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</si>
  <si>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</si>
  <si>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</si>
  <si>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</si>
  <si>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</si>
  <si>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</si>
  <si>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</si>
  <si>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</si>
  <si>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</si>
  <si>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</si>
  <si>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</si>
  <si>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</si>
  <si>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</si>
  <si>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</si>
  <si>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</si>
  <si>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</si>
  <si>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</si>
  <si>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</si>
  <si>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</si>
  <si>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</si>
  <si>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</si>
  <si>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</si>
  <si>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</si>
  <si>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</si>
  <si>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</si>
  <si>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</si>
  <si>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</si>
  <si>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</si>
  <si>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</si>
  <si>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</si>
  <si>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</si>
  <si>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</si>
  <si>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</si>
  <si>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</si>
  <si>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</si>
  <si>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</si>
  <si>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</si>
  <si>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</si>
  <si>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</si>
  <si>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</si>
  <si>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</si>
  <si>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</si>
  <si>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</si>
  <si>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</si>
  <si>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</si>
  <si>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</si>
  <si>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</si>
  <si>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</si>
  <si>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</si>
  <si>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</si>
  <si>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</si>
  <si>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</si>
  <si>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</si>
  <si>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</si>
  <si>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</si>
  <si>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</si>
  <si>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</si>
  <si>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</si>
  <si>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</si>
  <si>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</si>
  <si>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</si>
  <si>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</si>
  <si>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</si>
  <si>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</si>
  <si>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</si>
  <si>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</si>
  <si>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</si>
  <si>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</si>
  <si>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</si>
  <si>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</si>
  <si>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</si>
  <si>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</si>
  <si>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</si>
  <si>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</si>
  <si>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</si>
  <si>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</si>
  <si>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</si>
  <si>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</si>
  <si>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</si>
  <si>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</si>
  <si>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</si>
  <si>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</si>
  <si>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</si>
  <si>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</si>
  <si>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</si>
  <si>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</si>
  <si>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</si>
  <si>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</si>
  <si>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</si>
  <si>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</si>
  <si>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</si>
  <si>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</si>
  <si>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</si>
  <si>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</si>
  <si>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</si>
  <si>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</si>
  <si>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</si>
  <si>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</si>
  <si>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</si>
  <si>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</si>
  <si>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</si>
  <si>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</si>
  <si>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</si>
  <si>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</si>
  <si>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</si>
  <si>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</si>
  <si>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</si>
  <si>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</si>
  <si>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</si>
  <si>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</si>
  <si>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</si>
  <si>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</si>
  <si>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</si>
  <si>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</si>
  <si>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</si>
  <si>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</si>
  <si>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</si>
  <si>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</si>
  <si>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</si>
  <si>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</si>
  <si>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</si>
  <si>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</si>
  <si>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</si>
  <si>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</si>
  <si>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</si>
  <si>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</si>
  <si>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</si>
  <si>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</si>
  <si>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</si>
  <si>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</si>
  <si>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</si>
  <si>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</si>
  <si>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</si>
  <si>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</si>
  <si>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</si>
  <si>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</si>
  <si>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</si>
  <si>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</si>
  <si>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</si>
  <si>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</si>
  <si>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</si>
  <si>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</si>
  <si>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</si>
  <si>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</si>
  <si>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</si>
  <si>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</si>
  <si>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</si>
  <si>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</si>
  <si>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</si>
  <si>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</si>
  <si>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</si>
  <si>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</si>
  <si>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</si>
  <si>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</si>
  <si>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</si>
  <si>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</si>
  <si>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</si>
  <si>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</si>
  <si>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</si>
  <si>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</si>
  <si>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</si>
  <si>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</si>
  <si>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</si>
  <si>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</si>
  <si>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</si>
  <si>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</si>
  <si>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</si>
  <si>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</si>
  <si>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</si>
  <si>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</si>
  <si>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</si>
  <si>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</si>
  <si>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</si>
  <si>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</si>
  <si>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</si>
  <si>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</si>
  <si>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</si>
  <si>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</si>
  <si>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</si>
  <si>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</si>
  <si>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</si>
  <si>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</si>
  <si>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</si>
  <si>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</si>
  <si>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</si>
  <si>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</si>
  <si>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</si>
  <si>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</si>
  <si>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</si>
  <si>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</si>
  <si>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</si>
  <si>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</si>
  <si>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</si>
  <si>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</si>
  <si>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</si>
  <si>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</si>
  <si>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</si>
  <si>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</si>
  <si>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</si>
  <si>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</si>
  <si>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</si>
  <si>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</si>
  <si>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</si>
  <si>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</si>
  <si>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</si>
  <si>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</si>
  <si>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</si>
  <si>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</si>
  <si>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</si>
  <si>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</si>
  <si>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</si>
  <si>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</si>
  <si>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</si>
  <si>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</si>
  <si>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</si>
  <si>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</si>
  <si>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</si>
  <si>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</si>
  <si>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</si>
  <si>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</si>
  <si>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</si>
  <si>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</si>
  <si>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</si>
  <si>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</si>
  <si>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</si>
  <si>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</si>
  <si>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</si>
  <si>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</si>
  <si>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</si>
  <si>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</si>
  <si>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</si>
  <si>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</si>
  <si>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</si>
  <si>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</si>
  <si>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</si>
  <si>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</si>
  <si>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</si>
  <si>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</si>
  <si>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</si>
  <si>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</si>
  <si>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</si>
  <si>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</si>
  <si>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</si>
  <si>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</si>
  <si>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</si>
  <si>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</si>
  <si>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</si>
  <si>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</si>
  <si>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</si>
  <si>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</si>
  <si>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</si>
  <si>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</si>
  <si>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</si>
  <si>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</si>
  <si>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</si>
  <si>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</si>
  <si>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</si>
  <si>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</si>
  <si>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</si>
  <si>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</si>
  <si>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</si>
  <si>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</si>
  <si>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</si>
  <si>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</si>
  <si>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</si>
  <si>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</si>
  <si>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</si>
  <si>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</si>
  <si>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</si>
  <si>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</si>
  <si>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</si>
  <si>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</si>
  <si>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</si>
  <si>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</si>
  <si>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</si>
  <si>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</si>
  <si>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</si>
  <si>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</si>
  <si>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</si>
  <si>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</si>
  <si>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</si>
  <si>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</si>
  <si>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</si>
  <si>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</si>
  <si>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</si>
  <si>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</si>
  <si>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</si>
  <si>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</si>
  <si>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</si>
  <si>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</si>
  <si>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</si>
  <si>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</si>
  <si>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</si>
  <si>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</si>
  <si>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</si>
  <si>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</si>
  <si>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</si>
  <si>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</si>
  <si>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</si>
  <si>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</si>
  <si>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</si>
  <si>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</si>
  <si>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</si>
  <si>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</si>
  <si>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</si>
  <si>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</si>
  <si>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</si>
  <si>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</si>
  <si>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</si>
  <si>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</si>
  <si>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</si>
  <si>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</si>
  <si>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</si>
  <si>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</si>
  <si>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</si>
  <si>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</si>
  <si>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</si>
  <si>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</si>
  <si>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</si>
  <si>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</si>
  <si>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</si>
  <si>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</si>
  <si>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</si>
  <si>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</si>
  <si>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</si>
  <si>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</si>
  <si>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</si>
  <si>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</si>
  <si>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</si>
  <si>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</si>
  <si>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</si>
  <si>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</si>
  <si>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</si>
  <si>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</si>
  <si>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</si>
  <si>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</si>
  <si>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</si>
  <si>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</si>
  <si>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</si>
  <si>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</si>
  <si>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</si>
  <si>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</si>
  <si>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</si>
  <si>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</si>
  <si>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</si>
  <si>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</si>
  <si>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</si>
  <si>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</si>
  <si>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</si>
  <si>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</si>
  <si>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</si>
  <si>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</si>
  <si>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</si>
  <si>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</si>
  <si>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</si>
  <si>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</si>
  <si>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</si>
  <si>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</si>
  <si>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</si>
  <si>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</si>
  <si>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</si>
  <si>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</si>
  <si>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</si>
  <si>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</si>
  <si>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</si>
  <si>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</si>
  <si>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</si>
  <si>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</si>
  <si>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</si>
  <si>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</si>
  <si>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</si>
  <si>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</si>
  <si>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</si>
  <si>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</si>
  <si>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</si>
  <si>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</si>
  <si>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</si>
  <si>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</si>
  <si>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</si>
  <si>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</si>
  <si>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</si>
  <si>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</si>
  <si>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</si>
  <si>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</si>
  <si>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</si>
  <si>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</si>
  <si>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</si>
  <si>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</si>
  <si>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</si>
  <si>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</si>
  <si>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</si>
  <si>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</si>
  <si>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</si>
  <si>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</si>
  <si>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</si>
  <si>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</si>
  <si>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</si>
  <si>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</si>
  <si>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</si>
  <si>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</si>
  <si>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</si>
  <si>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</si>
  <si>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</si>
  <si>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</si>
  <si>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</si>
  <si>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</si>
  <si>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</si>
  <si>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</si>
  <si>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</si>
  <si>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</si>
  <si>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</si>
  <si>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</si>
  <si>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</si>
  <si>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</si>
  <si>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</si>
  <si>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</si>
  <si>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</si>
  <si>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</si>
  <si>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</si>
  <si>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</si>
  <si>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</si>
  <si>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</si>
  <si>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</si>
  <si>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</si>
  <si>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</si>
  <si>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</si>
  <si>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</si>
  <si>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</si>
  <si>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</si>
  <si>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</si>
  <si>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</si>
  <si>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</si>
  <si>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</si>
  <si>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</si>
  <si>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</si>
  <si>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</si>
  <si>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</si>
  <si>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</si>
  <si>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</si>
  <si>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</si>
  <si>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</si>
  <si>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</si>
  <si>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</si>
  <si>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</si>
  <si>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</si>
  <si>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</si>
  <si>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</si>
  <si>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</si>
  <si>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</si>
  <si>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</si>
  <si>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</si>
  <si>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</si>
  <si>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</si>
  <si>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</si>
  <si>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</si>
  <si>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</si>
  <si>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</si>
  <si>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</si>
  <si>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</si>
  <si>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</si>
  <si>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</si>
  <si>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</si>
  <si>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</si>
  <si>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</si>
  <si>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</si>
  <si>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</si>
  <si>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</si>
  <si>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</si>
  <si>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</si>
  <si>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</si>
  <si>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</si>
  <si>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</si>
  <si>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</si>
  <si>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</si>
  <si>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</si>
  <si>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</si>
  <si>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</si>
  <si>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</si>
  <si>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</si>
  <si>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</si>
  <si>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</si>
  <si>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</si>
  <si>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</si>
  <si>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</si>
  <si>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</si>
  <si>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</si>
  <si>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</si>
  <si>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</si>
  <si>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</si>
  <si>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</si>
  <si>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</si>
  <si>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</si>
  <si>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</si>
  <si>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</si>
  <si>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</si>
  <si>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</si>
  <si>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</si>
  <si>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</si>
  <si>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</si>
  <si>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</si>
  <si>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</si>
  <si>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</si>
  <si>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</si>
  <si>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</si>
  <si>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</si>
  <si>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</si>
  <si>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</si>
  <si>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</si>
  <si>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</si>
  <si>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</si>
  <si>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</si>
  <si>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</si>
  <si>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</si>
  <si>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</si>
  <si>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</si>
  <si>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</si>
  <si>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</si>
  <si>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</si>
  <si>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</si>
  <si>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</si>
  <si>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</si>
  <si>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</si>
  <si>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</si>
  <si>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</si>
  <si>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</si>
  <si>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</si>
  <si>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</si>
  <si>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</si>
  <si>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</si>
  <si>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</si>
  <si>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</si>
  <si>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</si>
  <si>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</si>
  <si>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</si>
  <si>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</si>
  <si>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</si>
  <si>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</si>
  <si>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</si>
  <si>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</si>
  <si>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</si>
  <si>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</si>
  <si>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</si>
  <si>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</si>
  <si>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</si>
  <si>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</si>
  <si>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</si>
  <si>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</si>
  <si>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</si>
  <si>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</si>
  <si>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</si>
  <si>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</si>
  <si>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</si>
  <si>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</si>
  <si>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</si>
  <si>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</si>
  <si>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</si>
  <si>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</si>
  <si>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</si>
  <si>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</si>
  <si>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</si>
  <si>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</si>
  <si>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</si>
  <si>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</si>
  <si>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</si>
  <si>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</si>
  <si>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</si>
  <si>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</si>
  <si>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</si>
  <si>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</si>
  <si>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</si>
  <si>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</si>
  <si>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</si>
  <si>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</si>
  <si>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</si>
  <si>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</si>
  <si>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</si>
  <si>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</si>
  <si>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</si>
  <si>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</si>
  <si>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</si>
  <si>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</si>
  <si>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</si>
  <si>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</si>
  <si>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</si>
  <si>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</si>
  <si>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</si>
  <si>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</si>
  <si>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</si>
  <si>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</si>
  <si>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</si>
  <si>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</si>
  <si>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</si>
  <si>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</si>
  <si>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</si>
  <si>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</si>
  <si>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</si>
  <si>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</si>
  <si>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</si>
  <si>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</si>
  <si>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</si>
  <si>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</si>
  <si>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</si>
  <si>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</si>
  <si>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</si>
  <si>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</si>
  <si>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</si>
  <si>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</si>
  <si>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</si>
  <si>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</si>
  <si>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</si>
  <si>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</si>
  <si>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</si>
  <si>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</si>
  <si>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</si>
  <si>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</si>
  <si>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</si>
  <si>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</si>
  <si>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</si>
  <si>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</si>
  <si>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</si>
  <si>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</si>
  <si>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</si>
  <si>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</si>
  <si>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</si>
  <si>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</si>
  <si>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</si>
  <si>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</si>
  <si>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</si>
  <si>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</si>
  <si>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</si>
  <si>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</si>
  <si>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</si>
  <si>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</si>
  <si>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</si>
  <si>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</si>
  <si>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</si>
  <si>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</si>
  <si>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</si>
  <si>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</si>
  <si>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</si>
  <si>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</si>
  <si>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</si>
  <si>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</si>
  <si>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</si>
  <si>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</si>
  <si>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</si>
  <si>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</si>
  <si>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</si>
  <si>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</si>
  <si>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</si>
  <si>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</si>
  <si>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</si>
  <si>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</si>
  <si>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</si>
  <si>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</si>
  <si>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</si>
  <si>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</si>
  <si>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</si>
  <si>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</si>
  <si>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</si>
  <si>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</si>
  <si>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</si>
  <si>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</si>
  <si>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</si>
  <si>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</si>
  <si>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</si>
  <si>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</si>
  <si>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</si>
  <si>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</si>
  <si>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</si>
  <si>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</si>
  <si>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</si>
  <si>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</si>
  <si>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</si>
  <si>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</si>
  <si>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</si>
  <si>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</si>
  <si>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</si>
  <si>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</si>
  <si>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</si>
  <si>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</si>
  <si>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</si>
  <si>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</si>
  <si>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</si>
  <si>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</si>
  <si>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</si>
  <si>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</si>
  <si>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</si>
  <si>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</si>
  <si>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</si>
  <si>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</si>
  <si>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</si>
  <si>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</si>
  <si>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</si>
  <si>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</si>
  <si>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</si>
  <si>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</si>
  <si>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</si>
  <si>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</si>
  <si>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</si>
  <si>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</si>
  <si>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</si>
  <si>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</si>
  <si>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</si>
  <si>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</si>
  <si>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</si>
  <si>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</si>
  <si>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</si>
  <si>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</si>
  <si>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</si>
  <si>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</si>
  <si>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</si>
  <si>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</si>
  <si>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</si>
  <si>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</si>
  <si>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</si>
  <si>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</si>
  <si>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</si>
  <si>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</si>
  <si>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</si>
  <si>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</si>
  <si>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</si>
  <si>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</si>
  <si>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</si>
  <si>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</si>
  <si>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</si>
  <si>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</si>
  <si>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</si>
  <si>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</si>
  <si>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</si>
  <si>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</si>
  <si>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</si>
  <si>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</si>
  <si>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</si>
  <si>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</si>
  <si>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</si>
  <si>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</si>
  <si>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</si>
  <si>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</si>
  <si>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</si>
  <si>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</si>
  <si>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</si>
  <si>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</si>
  <si>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</si>
  <si>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</si>
  <si>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</si>
  <si>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</si>
  <si>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</si>
  <si>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</si>
  <si>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</si>
  <si>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</si>
  <si>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</si>
  <si>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</si>
  <si>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</si>
  <si>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</si>
  <si>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</si>
  <si>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</si>
  <si>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</si>
  <si>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</si>
  <si>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</si>
  <si>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</si>
  <si>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</si>
  <si>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</si>
  <si>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</si>
  <si>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</si>
  <si>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</si>
  <si>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</si>
  <si>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</si>
  <si>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</si>
  <si>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</si>
  <si>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</si>
  <si>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</si>
  <si>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</si>
  <si>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</si>
  <si>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</si>
  <si>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</si>
  <si>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</si>
  <si>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</si>
  <si>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</si>
  <si>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</si>
  <si>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</si>
  <si>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</si>
  <si>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</si>
  <si>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</si>
  <si>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</si>
  <si>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</si>
  <si>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</si>
  <si>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</si>
  <si>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</si>
  <si>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</si>
  <si>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</si>
  <si>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</si>
  <si>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</si>
  <si>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</si>
  <si>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</si>
  <si>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</si>
  <si>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</si>
  <si>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</si>
  <si>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</si>
  <si>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</si>
  <si>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</si>
  <si>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</si>
  <si>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</si>
  <si>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</si>
  <si>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</si>
  <si>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</si>
  <si>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</si>
  <si>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</si>
  <si>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</si>
  <si>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</si>
  <si>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</si>
  <si>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</si>
  <si>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</si>
  <si>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</si>
  <si>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</si>
  <si>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</si>
  <si>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</si>
  <si>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</si>
  <si>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</si>
  <si>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</si>
  <si>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</si>
  <si>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</si>
  <si>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</si>
  <si>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</si>
  <si>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</si>
  <si>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</si>
  <si>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</si>
  <si>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</si>
  <si>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</si>
  <si>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</si>
  <si>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</si>
  <si>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</si>
  <si>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</si>
  <si>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</si>
  <si>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</si>
  <si>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</si>
  <si>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</si>
  <si>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</si>
  <si>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</si>
  <si>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</si>
  <si>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</si>
  <si>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</si>
  <si>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</si>
  <si>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</si>
  <si>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</si>
  <si>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</si>
  <si>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</si>
  <si>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</si>
  <si>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</si>
  <si>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</si>
  <si>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</si>
  <si>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</si>
  <si>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</si>
  <si>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</si>
  <si>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</si>
  <si>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</si>
  <si>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</si>
  <si>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</si>
  <si>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</si>
  <si>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</si>
  <si>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</si>
  <si>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</si>
  <si>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</si>
  <si>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</si>
  <si>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</si>
  <si>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</si>
  <si>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</si>
  <si>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</si>
  <si>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</si>
  <si>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</si>
  <si>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</si>
  <si>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</si>
  <si>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</si>
  <si>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</si>
  <si>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</si>
  <si>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</si>
  <si>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</si>
  <si>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</si>
  <si>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</si>
  <si>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</si>
  <si>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</si>
  <si>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</si>
  <si>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</si>
  <si>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</si>
  <si>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</si>
  <si>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</si>
  <si>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</si>
  <si>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</si>
  <si>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</si>
  <si>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</si>
  <si>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</si>
  <si>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</si>
  <si>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</si>
  <si>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</si>
  <si>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</si>
  <si>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</si>
  <si>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</si>
  <si>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</si>
  <si>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</si>
  <si>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</si>
  <si>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</si>
  <si>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</si>
  <si>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</si>
  <si>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</si>
  <si>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</si>
  <si>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</si>
  <si>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</si>
  <si>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</si>
  <si>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</si>
  <si>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</si>
  <si>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</si>
  <si>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</si>
  <si>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</si>
  <si>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</si>
  <si>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</si>
  <si>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</si>
  <si>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</si>
  <si>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</si>
  <si>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</si>
  <si>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</si>
  <si>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</si>
  <si>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</si>
  <si>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</si>
  <si>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</si>
  <si>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</si>
  <si>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</si>
  <si>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</si>
  <si>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</si>
  <si>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</si>
  <si>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</si>
  <si>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</si>
  <si>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</si>
  <si>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</si>
  <si>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</si>
  <si>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</si>
  <si>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</si>
  <si>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</si>
  <si>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</si>
  <si>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</si>
  <si>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</si>
  <si>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</si>
  <si>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</si>
  <si>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</si>
  <si>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</si>
  <si>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</si>
  <si>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</si>
  <si>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</si>
  <si>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</si>
  <si>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</si>
  <si>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</si>
  <si>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</si>
  <si>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</si>
  <si>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</si>
  <si>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</si>
  <si>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</si>
  <si>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</si>
  <si>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</si>
  <si>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</si>
  <si>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</si>
  <si>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</si>
  <si>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</si>
  <si>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</si>
  <si>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</si>
  <si>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</si>
  <si>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</si>
  <si>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</si>
  <si>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</si>
  <si>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</si>
  <si>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</si>
  <si>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</si>
  <si>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</si>
  <si>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</si>
  <si>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</si>
  <si>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</si>
  <si>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</si>
  <si>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</si>
  <si>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</si>
  <si>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</si>
  <si>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</si>
  <si>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</si>
  <si>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</si>
  <si>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</si>
  <si>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</si>
  <si>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</si>
  <si>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</si>
  <si>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</si>
  <si>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</si>
  <si>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</si>
  <si>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</si>
  <si>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</si>
  <si>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</si>
  <si>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</si>
  <si>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</si>
  <si>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</si>
  <si>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</si>
  <si>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</si>
  <si>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</si>
  <si>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</si>
  <si>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</si>
  <si>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</si>
  <si>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</si>
  <si>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</si>
  <si>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</si>
  <si>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</si>
  <si>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</si>
  <si>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</si>
  <si>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</si>
  <si>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</si>
  <si>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</si>
  <si>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</si>
  <si>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</si>
  <si>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</si>
  <si>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</si>
  <si>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</si>
  <si>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</si>
  <si>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</si>
  <si>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</si>
  <si>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</si>
  <si>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</si>
  <si>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</si>
  <si>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</si>
  <si>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</si>
  <si>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</si>
  <si>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</si>
  <si>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</si>
  <si>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</si>
  <si>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</si>
  <si>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</si>
  <si>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</si>
  <si>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</si>
  <si>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</si>
  <si>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</si>
  <si>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</si>
  <si>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</si>
  <si>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</si>
  <si>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</si>
  <si>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</si>
  <si>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</si>
  <si>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</si>
  <si>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</si>
  <si>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</si>
  <si>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</si>
  <si>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</si>
  <si>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</si>
  <si>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</si>
  <si>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</si>
  <si>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</si>
  <si>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</si>
  <si>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</si>
  <si>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</si>
  <si>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</si>
  <si>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</si>
  <si>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</si>
  <si>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</si>
  <si>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</si>
  <si>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</si>
  <si>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</si>
  <si>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</si>
  <si>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</si>
  <si>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</si>
  <si>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</si>
  <si>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</si>
  <si>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</si>
  <si>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</si>
  <si>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</si>
  <si>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</si>
  <si>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</si>
  <si>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</si>
  <si>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</si>
  <si>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</si>
  <si>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</si>
  <si>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</si>
  <si>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</si>
  <si>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</si>
  <si>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</si>
  <si>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</si>
  <si>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</si>
  <si>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</si>
  <si>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</si>
  <si>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</si>
  <si>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</si>
  <si>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</si>
  <si>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</si>
  <si>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</si>
  <si>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</si>
  <si>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</si>
  <si>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</si>
  <si>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</si>
  <si>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</si>
  <si>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</si>
  <si>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</si>
  <si>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</si>
  <si>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</si>
  <si>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</si>
  <si>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</si>
  <si>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</si>
  <si>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</si>
  <si>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</si>
  <si>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</si>
  <si>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</si>
  <si>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</si>
  <si>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</si>
  <si>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</si>
  <si>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</si>
  <si>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</si>
  <si>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</si>
  <si>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</si>
  <si>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</si>
  <si>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</si>
  <si>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</si>
  <si>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</si>
  <si>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</si>
  <si>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</si>
  <si>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</si>
  <si>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</si>
  <si>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</si>
  <si>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</si>
  <si>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</si>
  <si>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</si>
  <si>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</si>
  <si>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</si>
  <si>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</si>
  <si>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</si>
  <si>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</si>
  <si>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</si>
  <si>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</si>
  <si>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</si>
  <si>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</si>
  <si>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</si>
  <si>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</si>
  <si>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</si>
  <si>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</si>
  <si>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</si>
  <si>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</si>
  <si>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</si>
  <si>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</si>
  <si>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</si>
  <si>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</si>
  <si>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</si>
  <si>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</si>
  <si>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</si>
  <si>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</si>
  <si>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</si>
  <si>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</si>
  <si>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</si>
  <si>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</si>
  <si>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</si>
  <si>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</si>
  <si>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</si>
  <si>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</si>
  <si>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</si>
  <si>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</si>
  <si>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</si>
  <si>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</si>
  <si>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</si>
  <si>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</si>
  <si>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</si>
  <si>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</si>
  <si>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</si>
  <si>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</si>
  <si>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</si>
  <si>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</si>
  <si>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</si>
  <si>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</si>
  <si>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</si>
  <si>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</si>
  <si>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</si>
  <si>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</si>
  <si>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</si>
  <si>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</si>
  <si>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</si>
  <si>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</si>
  <si>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</si>
  <si>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</si>
  <si>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</si>
  <si>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</si>
  <si>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</si>
  <si>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</si>
  <si>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</si>
  <si>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</si>
  <si>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</si>
  <si>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</si>
  <si>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</si>
  <si>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</si>
  <si>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</si>
  <si>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</si>
  <si>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</si>
  <si>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</si>
  <si>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</si>
  <si>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</si>
  <si>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</si>
  <si>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</si>
  <si>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</si>
  <si>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</si>
  <si>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</si>
  <si>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</si>
  <si>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</si>
  <si>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</si>
  <si>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</si>
  <si>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</si>
  <si>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</si>
  <si>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</si>
  <si>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</si>
  <si>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</si>
  <si>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</si>
  <si>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</si>
  <si>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</si>
  <si>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</si>
  <si>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</si>
  <si>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</si>
  <si>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</si>
  <si>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</si>
  <si>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</si>
  <si>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</si>
  <si>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</si>
  <si>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</si>
  <si>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</si>
  <si>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</si>
  <si>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</si>
  <si>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</si>
  <si>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</si>
  <si>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</si>
  <si>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</si>
  <si>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</si>
  <si>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</si>
  <si>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</si>
  <si>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</si>
  <si>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</si>
  <si>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</si>
  <si>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</si>
  <si>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</si>
  <si>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</si>
  <si>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</si>
  <si>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</si>
  <si>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</si>
  <si>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</si>
  <si>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</si>
  <si>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</si>
  <si>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</si>
  <si>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</si>
  <si>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</si>
  <si>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</si>
  <si>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</si>
  <si>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</si>
  <si>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</si>
  <si>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</si>
  <si>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</si>
  <si>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</si>
  <si>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</si>
  <si>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</si>
  <si>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</si>
  <si>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</si>
  <si>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</si>
  <si>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</si>
  <si>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</si>
  <si>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</si>
  <si>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</si>
  <si>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</si>
  <si>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</si>
  <si>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</si>
  <si>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</si>
  <si>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</si>
  <si>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</si>
  <si>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</si>
  <si>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</si>
  <si>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</si>
  <si>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</si>
  <si>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</si>
  <si>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</si>
  <si>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</si>
  <si>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</si>
  <si>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</si>
  <si>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</si>
  <si>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</si>
  <si>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</si>
  <si>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</si>
  <si>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</si>
  <si>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</si>
  <si>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</si>
  <si>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</si>
  <si>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</si>
  <si>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</si>
  <si>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</si>
  <si>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</si>
  <si>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</si>
  <si>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</si>
  <si>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</si>
  <si>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</si>
  <si>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</si>
  <si>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</si>
  <si>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</si>
  <si>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</si>
  <si>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</si>
  <si>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</si>
  <si>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</si>
  <si>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</si>
  <si>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</si>
  <si>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</si>
  <si>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</si>
  <si>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</si>
  <si>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</si>
  <si>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</si>
  <si>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</si>
  <si>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</si>
  <si>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</si>
  <si>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</si>
  <si>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</si>
  <si>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</si>
  <si>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</si>
  <si>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</si>
  <si>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</si>
  <si>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</si>
  <si>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</si>
  <si>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</si>
  <si>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</si>
  <si>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</si>
  <si>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</si>
  <si>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</si>
  <si>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</si>
  <si>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</si>
  <si>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</si>
  <si>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</si>
  <si>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</si>
  <si>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</si>
  <si>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</si>
  <si>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</si>
  <si>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</si>
  <si>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</si>
  <si>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</si>
  <si>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</si>
  <si>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</si>
  <si>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</si>
  <si>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</si>
  <si>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</si>
  <si>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</si>
  <si>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</si>
  <si>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</si>
  <si>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</si>
  <si>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</si>
  <si>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</si>
  <si>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</si>
  <si>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</si>
  <si>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</si>
  <si>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</si>
  <si>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</si>
  <si>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</si>
  <si>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</si>
  <si>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</si>
  <si>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</si>
  <si>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</si>
  <si>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</si>
  <si>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</si>
  <si>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</si>
  <si>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</si>
  <si>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</si>
  <si>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</si>
  <si>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</si>
  <si>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</si>
  <si>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</si>
  <si>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</si>
  <si>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</si>
  <si>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</si>
  <si>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</si>
  <si>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</si>
  <si>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</si>
  <si>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</si>
  <si>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</si>
  <si>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</si>
  <si>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</si>
  <si>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</si>
  <si>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</si>
  <si>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</si>
  <si>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</si>
  <si>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</si>
  <si>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</si>
  <si>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</si>
  <si>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</si>
  <si>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</si>
  <si>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</si>
  <si>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</si>
  <si>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</si>
  <si>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</si>
  <si>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</si>
  <si>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</si>
  <si>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</si>
  <si>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</si>
  <si>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</si>
  <si>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</si>
  <si>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</si>
  <si>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</si>
  <si>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</si>
  <si>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</si>
  <si>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</si>
  <si>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</si>
  <si>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</si>
  <si>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</si>
  <si>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</si>
  <si>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</si>
  <si>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</si>
  <si>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</si>
  <si>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</si>
  <si>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</si>
  <si>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</si>
  <si>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</si>
  <si>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</si>
  <si>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</si>
  <si>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</si>
  <si>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</si>
  <si>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</si>
  <si>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</si>
  <si>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</si>
  <si>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</si>
  <si>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</si>
  <si>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</si>
  <si>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</si>
  <si>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</si>
  <si>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</si>
  <si>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</si>
  <si>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</si>
  <si>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</si>
  <si>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</si>
  <si>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</si>
  <si>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</si>
  <si>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</si>
  <si>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</si>
  <si>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</si>
  <si>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</si>
  <si>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</si>
  <si>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</si>
  <si>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</si>
  <si>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</si>
  <si>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</si>
  <si>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</si>
  <si>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</si>
  <si>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</si>
  <si>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</si>
  <si>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</si>
  <si>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</si>
  <si>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</si>
  <si>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</si>
  <si>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</si>
  <si>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</si>
  <si>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</si>
  <si>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</si>
  <si>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</si>
  <si>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</si>
  <si>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</si>
  <si>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</si>
  <si>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</si>
  <si>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</si>
  <si>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</si>
  <si>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</si>
  <si>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</si>
  <si>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</si>
  <si>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</si>
  <si>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</si>
  <si>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</si>
  <si>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</si>
  <si>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</si>
  <si>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</si>
  <si>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</si>
  <si>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</si>
  <si>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</si>
  <si>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</si>
  <si>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</si>
  <si>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</si>
  <si>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</si>
  <si>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</si>
  <si>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</si>
  <si>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</si>
  <si>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</si>
  <si>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</si>
  <si>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</si>
  <si>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</si>
  <si>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</si>
  <si>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</si>
  <si>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</si>
  <si>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</si>
  <si>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</si>
  <si>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</si>
  <si>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</si>
  <si>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</si>
  <si>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</si>
  <si>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</si>
  <si>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</si>
  <si>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</si>
  <si>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</si>
  <si>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</si>
  <si>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</si>
  <si>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</si>
  <si>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</si>
  <si>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</si>
  <si>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</si>
  <si>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</si>
  <si>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</si>
  <si>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</si>
  <si>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</si>
  <si>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</si>
  <si>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</si>
  <si>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</si>
  <si>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</si>
  <si>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</si>
  <si>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</si>
  <si>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</si>
  <si>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</si>
  <si>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</si>
  <si>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</si>
  <si>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</si>
  <si>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</si>
  <si>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</si>
  <si>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</si>
  <si>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</si>
  <si>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</si>
  <si>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</si>
  <si>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</si>
  <si>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</si>
  <si>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</si>
  <si>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</si>
  <si>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</si>
  <si>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</si>
  <si>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</si>
  <si>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</si>
  <si>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</si>
  <si>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</si>
  <si>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</si>
  <si>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</si>
  <si>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</si>
  <si>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</si>
  <si>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</si>
  <si>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</si>
  <si>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</si>
  <si>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</si>
  <si>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</si>
  <si>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</si>
  <si>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</si>
  <si>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</si>
  <si>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</si>
  <si>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</si>
  <si>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</si>
  <si>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</si>
  <si>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</si>
  <si>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</si>
  <si>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</si>
  <si>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</si>
  <si>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</si>
  <si>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</si>
  <si>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</si>
  <si>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</si>
  <si>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</si>
  <si>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</si>
  <si>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</si>
  <si>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</si>
  <si>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</si>
  <si>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</si>
  <si>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</si>
  <si>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</si>
  <si>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</si>
  <si>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</si>
  <si>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</si>
  <si>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</si>
  <si>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</si>
  <si>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</si>
  <si>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</si>
  <si>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</si>
  <si>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</si>
  <si>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</si>
  <si>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</si>
  <si>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</si>
  <si>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</si>
  <si>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</si>
  <si>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</si>
  <si>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</si>
  <si>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</si>
  <si>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</si>
  <si>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</si>
  <si>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</si>
  <si>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</si>
  <si>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</si>
  <si>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</si>
  <si>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</si>
  <si>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</si>
  <si>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</si>
  <si>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</si>
  <si>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</si>
  <si>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</si>
  <si>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</si>
  <si>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</si>
  <si>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</si>
  <si>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</si>
  <si>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</si>
  <si>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</si>
  <si>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</si>
  <si>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</si>
  <si>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</si>
  <si>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</si>
  <si>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</si>
  <si>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</si>
  <si>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</si>
  <si>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</si>
  <si>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</si>
  <si>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</si>
  <si>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</si>
  <si>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</si>
  <si>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</si>
  <si>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</si>
  <si>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</si>
  <si>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</si>
  <si>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</si>
  <si>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</si>
  <si>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</si>
  <si>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</si>
  <si>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</si>
  <si>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</si>
  <si>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</si>
  <si>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</si>
  <si>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</si>
  <si>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</si>
  <si>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</si>
  <si>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</si>
  <si>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</si>
  <si>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</si>
  <si>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</si>
  <si>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</si>
  <si>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</si>
  <si>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</si>
  <si>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</si>
  <si>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</si>
  <si>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</si>
  <si>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</si>
  <si>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</si>
  <si>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</si>
  <si>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</si>
  <si>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</si>
  <si>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</si>
  <si>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</si>
  <si>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</si>
  <si>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</si>
  <si>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</si>
  <si>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</si>
  <si>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</si>
  <si>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</si>
  <si>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</si>
  <si>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</si>
  <si>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</si>
  <si>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</si>
  <si>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</si>
  <si>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</si>
  <si>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</si>
  <si>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</si>
  <si>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</si>
  <si>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</si>
  <si>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</si>
  <si>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</si>
  <si>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</si>
  <si>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</si>
  <si>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</si>
  <si>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</si>
  <si>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</si>
  <si>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</si>
  <si>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</si>
  <si>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</si>
  <si>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</si>
  <si>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</si>
  <si>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</si>
  <si>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</si>
  <si>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</si>
  <si>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</si>
  <si>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</si>
  <si>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</si>
  <si>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</si>
  <si>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</si>
  <si>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</si>
  <si>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</si>
  <si>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</si>
  <si>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</si>
  <si>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</si>
  <si>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</si>
  <si>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</si>
  <si>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</si>
  <si>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</si>
  <si>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</si>
  <si>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</si>
  <si>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</si>
  <si>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</si>
  <si>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</si>
  <si>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</si>
  <si>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</si>
  <si>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</si>
  <si>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</si>
  <si>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</si>
  <si>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</si>
  <si>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</si>
  <si>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</si>
  <si>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</si>
  <si>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</si>
  <si>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</si>
  <si>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</si>
  <si>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</si>
  <si>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</si>
  <si>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</si>
  <si>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</si>
  <si>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</si>
  <si>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</si>
  <si>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</si>
  <si>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</si>
  <si>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</si>
  <si>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</si>
  <si>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</si>
  <si>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</si>
  <si>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</si>
  <si>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</si>
  <si>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</si>
  <si>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</si>
  <si>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</si>
  <si>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</si>
  <si>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</si>
  <si>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</si>
  <si>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</si>
  <si>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</si>
  <si>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</si>
  <si>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</si>
  <si>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</si>
  <si>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</si>
  <si>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</si>
  <si>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</si>
  <si>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</si>
  <si>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</si>
  <si>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</si>
  <si>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</si>
  <si>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</si>
  <si>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</si>
  <si>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</si>
  <si>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</si>
  <si>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</si>
  <si>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</si>
  <si>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</si>
  <si>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</si>
  <si>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</si>
  <si>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</si>
  <si>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</si>
  <si>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</si>
  <si>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</si>
  <si>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</si>
  <si>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</si>
  <si>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</si>
  <si>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</si>
  <si>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</si>
  <si>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</si>
  <si>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</si>
  <si>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</si>
  <si>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</si>
  <si>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</si>
  <si>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</si>
  <si>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</si>
  <si>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</si>
  <si>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</si>
  <si>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</si>
  <si>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</si>
  <si>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</si>
  <si>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</si>
  <si>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</si>
  <si>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</si>
  <si>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</si>
  <si>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</si>
  <si>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</si>
  <si>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</si>
  <si>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</si>
  <si>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</si>
  <si>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</si>
  <si>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</si>
  <si>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</si>
  <si>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</si>
  <si>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</si>
  <si>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</si>
  <si>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</si>
  <si>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</si>
  <si>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</si>
  <si>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</si>
  <si>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</si>
  <si>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</si>
  <si>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</si>
  <si>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</si>
  <si>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</si>
  <si>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</si>
  <si>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</si>
  <si>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</si>
  <si>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</si>
  <si>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</si>
  <si>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</si>
  <si>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</si>
  <si>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</si>
  <si>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</si>
  <si>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</si>
  <si>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</si>
  <si>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</si>
  <si>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</si>
  <si>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</si>
  <si>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</si>
  <si>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</si>
  <si>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</si>
  <si>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</si>
  <si>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</si>
  <si>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</si>
  <si>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</si>
  <si>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</si>
  <si>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</si>
  <si>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</si>
  <si>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</si>
  <si>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</si>
  <si>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</si>
  <si>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</si>
  <si>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</si>
  <si>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</si>
  <si>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</si>
  <si>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</si>
  <si>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</si>
  <si>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</si>
  <si>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</si>
  <si>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</si>
  <si>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</si>
  <si>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</si>
  <si>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</si>
  <si>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</si>
  <si>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</si>
  <si>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</si>
  <si>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</si>
  <si>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</si>
  <si>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</si>
  <si>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</si>
  <si>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</si>
  <si>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</si>
  <si>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</si>
  <si>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</si>
  <si>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</si>
  <si>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</si>
  <si>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</si>
  <si>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</si>
  <si>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</si>
  <si>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</si>
  <si>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</si>
  <si>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</si>
  <si>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</si>
  <si>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</si>
  <si>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</si>
  <si>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</si>
  <si>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</si>
  <si>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</si>
  <si>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</si>
  <si>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</si>
  <si>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</si>
  <si>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</si>
  <si>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</si>
  <si>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</si>
  <si>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</si>
  <si>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</si>
  <si>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</si>
  <si>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</si>
  <si>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</si>
  <si>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</si>
  <si>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</si>
  <si>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</si>
  <si>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</si>
  <si>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</si>
  <si>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</si>
  <si>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</si>
  <si>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</si>
  <si>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</si>
  <si>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</si>
  <si>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</si>
  <si>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</si>
  <si>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</si>
  <si>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</si>
  <si>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</si>
  <si>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</si>
  <si>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</si>
  <si>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</si>
  <si>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</si>
  <si>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</si>
  <si>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</si>
  <si>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</si>
  <si>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</si>
  <si>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</si>
  <si>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</si>
  <si>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</si>
  <si>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</si>
  <si>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</si>
  <si>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</si>
  <si>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</si>
  <si>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</si>
  <si>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</si>
  <si>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</si>
  <si>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</si>
  <si>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</si>
  <si>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</si>
  <si>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</si>
  <si>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</si>
  <si>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</si>
  <si>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</si>
  <si>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</si>
  <si>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</si>
  <si>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</si>
  <si>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</si>
  <si>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</si>
  <si>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</si>
  <si>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</si>
  <si>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</si>
  <si>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</si>
  <si>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</si>
  <si>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</si>
  <si>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</si>
  <si>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</si>
  <si>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</si>
  <si>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</si>
  <si>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</si>
  <si>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</si>
  <si>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</si>
  <si>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</si>
  <si>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</si>
  <si>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</si>
  <si>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</si>
  <si>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</si>
  <si>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</si>
  <si>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</si>
  <si>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</si>
  <si>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</si>
  <si>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</si>
  <si>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</si>
  <si>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</si>
  <si>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</si>
  <si>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</si>
  <si>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</si>
  <si>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</si>
  <si>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</si>
  <si>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</si>
  <si>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</si>
  <si>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</si>
  <si>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</si>
  <si>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</si>
  <si>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</si>
  <si>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</si>
  <si>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</si>
  <si>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</si>
  <si>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</si>
  <si>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</si>
  <si>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</si>
  <si>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</si>
  <si>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</si>
  <si>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</si>
  <si>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</si>
  <si>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</si>
  <si>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</si>
  <si>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</si>
  <si>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</si>
  <si>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</si>
  <si>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</si>
  <si>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</si>
  <si>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</si>
  <si>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</si>
  <si>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</si>
  <si>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</si>
  <si>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</si>
  <si>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</si>
  <si>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</si>
  <si>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</si>
  <si>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</si>
  <si>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</si>
  <si>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</si>
  <si>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</si>
  <si>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</si>
  <si>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</si>
  <si>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</si>
  <si>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</si>
  <si>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</si>
  <si>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</si>
  <si>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</si>
  <si>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</si>
  <si>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</si>
  <si>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</si>
  <si>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</si>
  <si>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</si>
  <si>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</si>
  <si>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</si>
  <si>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</si>
  <si>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</si>
  <si>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</si>
  <si>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</si>
  <si>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</si>
  <si>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</si>
  <si>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</si>
  <si>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</si>
  <si>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</si>
  <si>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</si>
  <si>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</si>
  <si>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</si>
  <si>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</si>
  <si>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</si>
  <si>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</si>
  <si>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</si>
  <si>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</si>
  <si>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</si>
  <si>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</si>
  <si>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</si>
  <si>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</si>
  <si>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</si>
  <si>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</si>
  <si>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</si>
  <si>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</si>
  <si>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</si>
  <si>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</si>
  <si>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</si>
  <si>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</si>
  <si>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</si>
  <si>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</si>
  <si>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</si>
  <si>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</si>
  <si>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</si>
  <si>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</si>
  <si>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</si>
  <si>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</si>
  <si>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</si>
  <si>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</si>
  <si>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</si>
  <si>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</si>
  <si>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</si>
  <si>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</si>
  <si>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</si>
  <si>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</si>
  <si>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</si>
  <si>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</si>
  <si>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</si>
  <si>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</si>
  <si>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</si>
  <si>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</si>
  <si>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</si>
  <si>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</si>
  <si>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</si>
  <si>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</si>
  <si>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</si>
  <si>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</si>
  <si>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</si>
  <si>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</si>
  <si>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</si>
  <si>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</si>
  <si>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</si>
  <si>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</si>
  <si>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</si>
  <si>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</si>
  <si>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</si>
  <si>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</si>
  <si>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</si>
  <si>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</si>
  <si>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</si>
  <si>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</si>
  <si>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</si>
  <si>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</si>
  <si>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</si>
  <si>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</si>
  <si>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</si>
  <si>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</si>
  <si>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</si>
  <si>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</si>
  <si>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</si>
  <si>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</si>
  <si>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</si>
  <si>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</si>
  <si>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</si>
  <si>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</si>
  <si>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</si>
  <si>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</si>
  <si>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</si>
  <si>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</si>
  <si>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</si>
  <si>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</si>
  <si>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</si>
  <si>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</si>
  <si>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</si>
  <si>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</si>
  <si>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</si>
  <si>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</si>
  <si>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</si>
  <si>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</si>
  <si>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</si>
  <si>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</si>
  <si>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</si>
  <si>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</si>
  <si>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</si>
  <si>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</si>
  <si>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</si>
  <si>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</si>
  <si>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</si>
  <si>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</si>
  <si>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</si>
  <si>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</si>
  <si>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</si>
  <si>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</si>
  <si>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</si>
  <si>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</si>
  <si>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</si>
  <si>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</si>
  <si>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</si>
  <si>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</si>
  <si>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</si>
  <si>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</si>
  <si>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</si>
  <si>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</si>
  <si>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</si>
  <si>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</si>
  <si>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</si>
  <si>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</si>
  <si>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</si>
  <si>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</si>
  <si>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</si>
  <si>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</si>
  <si>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</si>
  <si>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</si>
  <si>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</si>
  <si>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</si>
  <si>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</si>
  <si>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</si>
  <si>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</si>
  <si>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</si>
  <si>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</si>
  <si>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</si>
  <si>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</si>
  <si>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</si>
  <si>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</si>
  <si>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</si>
  <si>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</si>
  <si>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</si>
  <si>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</si>
  <si>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</si>
  <si>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</si>
  <si>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</si>
  <si>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</si>
  <si>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</si>
  <si>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</si>
  <si>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</si>
  <si>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</si>
  <si>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</si>
  <si>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</si>
  <si>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</si>
  <si>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</si>
  <si>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</si>
  <si>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</si>
  <si>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</si>
  <si>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</si>
  <si>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</si>
  <si>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</si>
  <si>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</si>
  <si>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</si>
  <si>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</si>
  <si>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</si>
  <si>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</si>
  <si>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</si>
  <si>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</si>
  <si>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</si>
  <si>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</si>
  <si>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</si>
  <si>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</si>
  <si>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</si>
  <si>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</si>
  <si>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</si>
  <si>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</si>
  <si>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</si>
  <si>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</si>
  <si>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</si>
  <si>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</si>
  <si>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</si>
  <si>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</si>
  <si>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</si>
  <si>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</si>
  <si>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</si>
  <si>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</si>
  <si>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</si>
  <si>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</si>
  <si>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</si>
  <si>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</si>
  <si>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</si>
  <si>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</si>
  <si>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</si>
  <si>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</si>
  <si>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</si>
  <si>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</si>
  <si>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</si>
  <si>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</si>
  <si>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</si>
  <si>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</si>
  <si>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</si>
  <si>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</si>
  <si>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</si>
  <si>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</si>
  <si>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</si>
  <si>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</si>
  <si>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</si>
  <si>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</si>
  <si>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</si>
  <si>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</si>
  <si>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</si>
  <si>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</si>
  <si>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</si>
  <si>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</si>
  <si>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</si>
  <si>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</si>
  <si>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</si>
  <si>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</si>
  <si>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</si>
  <si>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</si>
  <si>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</si>
  <si>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</si>
  <si>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</si>
  <si>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</si>
  <si>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</si>
  <si>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</si>
  <si>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</si>
  <si>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</si>
  <si>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</si>
  <si>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</si>
  <si>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</si>
  <si>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</si>
  <si>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</si>
  <si>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</si>
  <si>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</si>
  <si>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</si>
  <si>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</si>
  <si>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</si>
  <si>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</si>
  <si>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</si>
  <si>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</si>
  <si>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</si>
  <si>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</si>
  <si>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</si>
  <si>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</si>
  <si>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</si>
  <si>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</si>
  <si>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</si>
  <si>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</si>
  <si>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</si>
  <si>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</si>
  <si>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</si>
  <si>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</si>
  <si>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</si>
  <si>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</si>
  <si>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</si>
  <si>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</si>
  <si>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</si>
  <si>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</si>
  <si>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</si>
  <si>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</si>
  <si>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</si>
  <si>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</si>
  <si>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</si>
  <si>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</si>
  <si>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</si>
  <si>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</si>
  <si>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</si>
  <si>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</si>
  <si>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</si>
  <si>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</si>
  <si>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</si>
  <si>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</si>
  <si>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</si>
  <si>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</si>
  <si>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</si>
  <si>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</si>
  <si>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</si>
  <si>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</si>
  <si>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</si>
  <si>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</si>
  <si>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</si>
  <si>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</si>
  <si>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</si>
  <si>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</si>
  <si>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</si>
  <si>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</si>
  <si>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</si>
  <si>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</si>
  <si>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</si>
  <si>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</si>
  <si>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</si>
  <si>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</si>
  <si>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</si>
  <si>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</si>
  <si>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</si>
  <si>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</si>
  <si>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</si>
  <si>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</si>
  <si>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</si>
  <si>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</si>
  <si>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</si>
  <si>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</si>
  <si>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</si>
  <si>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</si>
  <si>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</si>
  <si>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</si>
  <si>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</si>
  <si>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</si>
  <si>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</si>
  <si>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</si>
  <si>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</si>
  <si>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</si>
  <si>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</si>
  <si>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</si>
  <si>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</si>
  <si>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</si>
  <si>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</si>
  <si>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</si>
  <si>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</si>
  <si>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</si>
  <si>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</si>
  <si>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</si>
  <si>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</si>
  <si>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</si>
  <si>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</si>
  <si>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</si>
  <si>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</si>
  <si>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</si>
  <si>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</si>
  <si>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</si>
  <si>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</si>
  <si>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</si>
  <si>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</si>
  <si>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</si>
  <si>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</si>
  <si>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</si>
  <si>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</si>
  <si>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</si>
  <si>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</si>
  <si>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</si>
  <si>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</si>
  <si>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</si>
  <si>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</si>
  <si>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</si>
  <si>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</si>
  <si>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</si>
  <si>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</si>
  <si>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</si>
  <si>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</si>
  <si>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</si>
  <si>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</si>
  <si>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</si>
  <si>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</si>
  <si>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</si>
  <si>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</si>
  <si>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</si>
  <si>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</si>
  <si>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</si>
  <si>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</si>
  <si>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</si>
  <si>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</si>
  <si>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</si>
  <si>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</si>
  <si>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</si>
  <si>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</si>
  <si>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</si>
  <si>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</si>
  <si>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</si>
  <si>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</si>
  <si>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</si>
  <si>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</si>
  <si>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</si>
  <si>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</si>
  <si>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</si>
  <si>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</si>
  <si>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</si>
  <si>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</si>
  <si>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</si>
  <si>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</si>
  <si>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</si>
  <si>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</si>
  <si>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</si>
  <si>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</si>
  <si>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</si>
  <si>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</si>
  <si>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</si>
  <si>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</si>
  <si>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</si>
  <si>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</si>
  <si>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</si>
  <si>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</si>
  <si>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</si>
  <si>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</si>
  <si>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</si>
  <si>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</si>
  <si>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</si>
  <si>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</si>
  <si>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</si>
  <si>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</si>
  <si>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</si>
  <si>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</si>
  <si>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</si>
  <si>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</si>
  <si>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</si>
  <si>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</si>
  <si>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</si>
  <si>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</si>
  <si>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</si>
  <si>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</si>
  <si>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</si>
  <si>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</si>
  <si>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</si>
  <si>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</si>
  <si>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</si>
  <si>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</si>
  <si>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</si>
  <si>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</si>
  <si>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</si>
  <si>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</si>
  <si>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</si>
  <si>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</si>
  <si>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</si>
  <si>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</si>
  <si>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</si>
  <si>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</si>
  <si>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</si>
  <si>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</si>
  <si>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</si>
  <si>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</si>
  <si>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</si>
  <si>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</si>
  <si>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</si>
  <si>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</si>
  <si>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</si>
  <si>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</si>
  <si>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</si>
  <si>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</si>
  <si>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</si>
  <si>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</si>
  <si>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</si>
  <si>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</si>
  <si>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</si>
  <si>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</si>
  <si>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</si>
  <si>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</si>
  <si>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</si>
  <si>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</si>
  <si>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</si>
  <si>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</si>
  <si>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</si>
  <si>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</si>
  <si>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</si>
  <si>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</si>
  <si>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</si>
  <si>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</si>
  <si>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</si>
  <si>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</si>
  <si>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</si>
  <si>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</si>
  <si>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</si>
  <si>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</si>
  <si>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</si>
  <si>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</si>
  <si>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</si>
  <si>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</si>
  <si>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</si>
  <si>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</si>
  <si>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</si>
  <si>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</si>
  <si>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</si>
  <si>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</si>
  <si>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</si>
  <si>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</si>
  <si>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</si>
  <si>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</si>
  <si>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</si>
  <si>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</si>
  <si>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</si>
  <si>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</si>
  <si>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</si>
  <si>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</si>
  <si>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</si>
  <si>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</si>
  <si>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</si>
  <si>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</si>
  <si>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</si>
  <si>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</si>
  <si>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</si>
  <si>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</si>
  <si>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</si>
  <si>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</si>
  <si>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</si>
  <si>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</si>
  <si>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</si>
  <si>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</si>
  <si>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</si>
  <si>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</si>
  <si>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</si>
  <si>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</si>
  <si>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</si>
  <si>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</si>
  <si>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</si>
  <si>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</si>
  <si>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</si>
  <si>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</si>
  <si>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</si>
  <si>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</si>
  <si>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</si>
  <si>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</si>
  <si>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</si>
  <si>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</si>
  <si>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</si>
  <si>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</si>
  <si>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</si>
  <si>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</si>
  <si>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</si>
  <si>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</si>
  <si>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</si>
  <si>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</si>
  <si>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</si>
  <si>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</si>
  <si>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</si>
  <si>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</si>
  <si>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</si>
  <si>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</si>
  <si>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</si>
  <si>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</si>
  <si>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</si>
  <si>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</si>
  <si>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</si>
  <si>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</si>
  <si>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</si>
  <si>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</si>
  <si>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</si>
  <si>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</si>
  <si>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</si>
  <si>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</si>
  <si>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</si>
  <si>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</si>
  <si>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</si>
  <si>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</si>
  <si>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</si>
  <si>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</si>
  <si>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</si>
  <si>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</si>
  <si>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</si>
  <si>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</si>
  <si>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</si>
  <si>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</si>
  <si>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</si>
  <si>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</si>
  <si>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</si>
  <si>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</si>
  <si>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</si>
  <si>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</si>
  <si>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</si>
  <si>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</si>
  <si>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</si>
  <si>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</si>
  <si>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</si>
  <si>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</si>
  <si>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</si>
  <si>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</si>
  <si>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</si>
  <si>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</si>
  <si>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</si>
  <si>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</si>
  <si>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</si>
  <si>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</si>
  <si>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</si>
  <si>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</si>
  <si>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</si>
  <si>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</si>
  <si>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</si>
  <si>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</si>
  <si>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</si>
  <si>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</si>
  <si>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</si>
  <si>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</si>
  <si>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</si>
  <si>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</si>
  <si>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</si>
  <si>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</si>
  <si>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</si>
  <si>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</si>
  <si>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</si>
  <si>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</si>
  <si>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</si>
  <si>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</si>
  <si>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</si>
  <si>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</si>
  <si>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</si>
  <si>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</si>
  <si>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</si>
  <si>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</si>
  <si>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</si>
  <si>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</si>
  <si>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</si>
  <si>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</si>
  <si>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</si>
  <si>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</si>
  <si>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</si>
  <si>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</si>
  <si>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</si>
  <si>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</si>
  <si>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</si>
  <si>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</si>
  <si>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</si>
  <si>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</si>
  <si>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</si>
  <si>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</si>
  <si>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</si>
  <si>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</si>
  <si>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</si>
  <si>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</si>
  <si>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</si>
  <si>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</si>
  <si>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</si>
  <si>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</si>
  <si>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</si>
  <si>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</si>
  <si>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</si>
  <si>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</si>
  <si>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</si>
  <si>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</si>
  <si>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</si>
  <si>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</si>
  <si>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</si>
  <si>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</si>
  <si>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</si>
  <si>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</si>
  <si>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</si>
  <si>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</si>
  <si>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</si>
  <si>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</si>
  <si>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</si>
  <si>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</si>
  <si>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</si>
  <si>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</si>
  <si>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</si>
  <si>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</si>
  <si>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</si>
  <si>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</si>
  <si>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</si>
  <si>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</si>
  <si>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</si>
  <si>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</si>
  <si>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</si>
  <si>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</si>
  <si>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</si>
  <si>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</si>
  <si>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</si>
  <si>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</si>
  <si>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</si>
  <si>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</si>
  <si>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</si>
  <si>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</si>
  <si>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</si>
  <si>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</si>
  <si>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</si>
  <si>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</si>
  <si>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</si>
  <si>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</si>
  <si>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</si>
  <si>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</si>
  <si>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</si>
  <si>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</si>
  <si>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</si>
  <si>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</si>
  <si>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</si>
  <si>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</si>
  <si>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</si>
  <si>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</si>
  <si>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</si>
  <si>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</si>
  <si>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</si>
  <si>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</si>
  <si>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</si>
  <si>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</si>
  <si>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</si>
  <si>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</si>
  <si>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</si>
  <si>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</si>
  <si>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</si>
  <si>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</si>
  <si>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</si>
  <si>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</si>
  <si>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</si>
  <si>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</si>
  <si>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</si>
  <si>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</si>
  <si>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</si>
  <si>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</si>
  <si>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</si>
  <si>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</si>
  <si>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</si>
  <si>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</si>
  <si>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</si>
  <si>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</si>
  <si>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</si>
  <si>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</si>
  <si>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</si>
  <si>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</si>
  <si>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</si>
  <si>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</si>
  <si>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</si>
  <si>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</si>
  <si>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</si>
  <si>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</si>
  <si>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</si>
  <si>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</si>
  <si>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</si>
  <si>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</si>
  <si>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</si>
  <si>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</si>
  <si>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</si>
  <si>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</si>
  <si>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</si>
  <si>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</si>
  <si>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</si>
  <si>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</si>
  <si>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</si>
  <si>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</si>
  <si>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</si>
  <si>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</si>
  <si>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</si>
  <si>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</si>
  <si>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</si>
  <si>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</si>
  <si>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</si>
  <si>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</si>
  <si>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</si>
  <si>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</si>
  <si>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</si>
  <si>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</si>
  <si>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</si>
  <si>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</si>
  <si>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</si>
  <si>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</si>
  <si>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</si>
  <si>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</si>
  <si>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</si>
  <si>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</si>
  <si>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</si>
  <si>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</si>
  <si>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</si>
  <si>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</si>
  <si>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</si>
  <si>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</si>
  <si>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</si>
  <si>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</si>
  <si>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</si>
  <si>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</si>
  <si>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</si>
  <si>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</si>
  <si>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</si>
  <si>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</si>
  <si>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</si>
  <si>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</si>
  <si>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</si>
  <si>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</si>
  <si>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</si>
  <si>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</si>
  <si>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</si>
  <si>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</si>
  <si>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</si>
  <si>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</si>
  <si>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</si>
  <si>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</si>
  <si>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</si>
  <si>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</si>
  <si>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</si>
  <si>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</si>
  <si>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</si>
  <si>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</si>
  <si>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</si>
  <si>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</si>
  <si>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</si>
  <si>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</si>
  <si>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</si>
  <si>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</si>
  <si>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</si>
  <si>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</si>
  <si>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</si>
  <si>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</si>
  <si>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</si>
  <si>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</si>
  <si>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</si>
  <si>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</si>
  <si>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</si>
  <si>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</si>
  <si>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</si>
  <si>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</si>
  <si>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</si>
  <si>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</si>
  <si>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</si>
  <si>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</si>
  <si>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</si>
  <si>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</si>
  <si>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</si>
  <si>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</si>
  <si>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</si>
  <si>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</si>
  <si>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</si>
  <si>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</si>
  <si>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</si>
  <si>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</si>
  <si>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</si>
  <si>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</si>
  <si>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</si>
  <si>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</si>
  <si>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</si>
  <si>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</si>
  <si>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</si>
  <si>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</si>
  <si>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</si>
  <si>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</si>
  <si>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</si>
  <si>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</si>
  <si>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</si>
  <si>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</si>
  <si>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</si>
  <si>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</si>
  <si>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</si>
  <si>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</si>
  <si>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</si>
  <si>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</si>
  <si>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</si>
  <si>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</si>
  <si>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</si>
  <si>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</si>
  <si>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</si>
  <si>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</si>
  <si>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</si>
  <si>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</si>
  <si>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</si>
  <si>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</si>
  <si>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</si>
  <si>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</si>
  <si>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</si>
  <si>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</si>
  <si>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</si>
  <si>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</si>
  <si>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</si>
  <si>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</si>
  <si>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</si>
  <si>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</si>
  <si>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</si>
  <si>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</si>
  <si>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</si>
  <si>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</si>
  <si>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</si>
  <si>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</si>
  <si>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</si>
  <si>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</si>
  <si>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</si>
  <si>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</si>
  <si>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</si>
  <si>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</si>
  <si>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</si>
  <si>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</si>
  <si>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</si>
  <si>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</si>
  <si>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</si>
  <si>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</si>
  <si>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</si>
  <si>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</si>
  <si>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</si>
  <si>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</si>
  <si>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</si>
  <si>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</si>
  <si>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</si>
  <si>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</si>
  <si>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</si>
  <si>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</si>
  <si>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</si>
  <si>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</si>
  <si>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</si>
  <si>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</si>
  <si>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</si>
  <si>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</si>
  <si>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</si>
  <si>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</si>
  <si>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</si>
  <si>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</si>
  <si>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</si>
  <si>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</si>
  <si>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</si>
  <si>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</si>
  <si>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</si>
  <si>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</si>
  <si>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</si>
  <si>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</si>
  <si>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</si>
  <si>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</si>
  <si>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</si>
  <si>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</si>
  <si>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</si>
  <si>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</si>
  <si>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</si>
  <si>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</si>
  <si>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</si>
  <si>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</si>
  <si>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</si>
  <si>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</si>
  <si>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</si>
  <si>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</si>
  <si>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</si>
  <si>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</si>
  <si>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</si>
  <si>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</si>
  <si>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</si>
  <si>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</si>
  <si>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</si>
  <si>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</si>
  <si>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</si>
  <si>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</si>
  <si>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</si>
  <si>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</si>
  <si>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</si>
  <si>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</si>
  <si>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</si>
  <si>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</si>
  <si>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</si>
  <si>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</si>
  <si>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</si>
  <si>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</si>
  <si>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</si>
  <si>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</si>
  <si>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</si>
  <si>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</si>
  <si>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</si>
  <si>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</si>
  <si>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</si>
  <si>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</si>
  <si>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</si>
  <si>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</si>
  <si>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</si>
  <si>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</si>
  <si>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</si>
  <si>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</si>
  <si>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</si>
  <si>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</si>
  <si>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</si>
  <si>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</si>
  <si>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</si>
  <si>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</si>
  <si>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</si>
  <si>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</si>
  <si>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</si>
  <si>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</si>
  <si>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</si>
  <si>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</si>
  <si>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</si>
  <si>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</si>
  <si>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</si>
  <si>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</si>
  <si>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</si>
  <si>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</si>
  <si>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</si>
  <si>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</si>
  <si>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</si>
  <si>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</si>
  <si>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</si>
  <si>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</si>
  <si>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</si>
  <si>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</si>
  <si>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</si>
  <si>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</si>
  <si>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</si>
  <si>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</si>
  <si>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</si>
  <si>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</si>
  <si>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</si>
  <si>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</si>
  <si>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</si>
  <si>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</si>
  <si>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</si>
  <si>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</si>
  <si>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</si>
  <si>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</si>
  <si>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</si>
  <si>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</si>
  <si>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</si>
  <si>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</si>
  <si>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</si>
  <si>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</si>
  <si>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</si>
  <si>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</si>
  <si>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</si>
  <si>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</si>
  <si>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</si>
  <si>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</si>
  <si>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</si>
  <si>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</si>
  <si>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</si>
  <si>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</si>
  <si>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</si>
  <si>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</si>
  <si>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</si>
  <si>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</si>
  <si>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</si>
  <si>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</si>
  <si>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</si>
  <si>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</si>
  <si>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</si>
  <si>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</si>
  <si>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</si>
  <si>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</si>
  <si>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</si>
  <si>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</si>
  <si>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</si>
  <si>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</si>
  <si>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</si>
  <si>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</si>
  <si>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</si>
  <si>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</si>
  <si>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</si>
  <si>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</si>
  <si>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</si>
  <si>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</si>
  <si>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</si>
  <si>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</si>
  <si>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</si>
  <si>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</si>
  <si>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</si>
  <si>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</si>
  <si>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</si>
  <si>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</si>
  <si>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</si>
  <si>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</si>
  <si>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</si>
  <si>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</si>
  <si>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</si>
  <si>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</si>
  <si>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</si>
  <si>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</si>
  <si>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</si>
  <si>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</si>
  <si>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</si>
  <si>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</si>
  <si>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</si>
  <si>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</si>
  <si>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</si>
  <si>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</si>
  <si>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</si>
  <si>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</si>
  <si>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</si>
  <si>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</si>
  <si>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</si>
  <si>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</si>
  <si>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</si>
  <si>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</si>
  <si>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</si>
  <si>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</si>
  <si>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</si>
  <si>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</si>
  <si>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</si>
  <si>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</si>
  <si>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</si>
  <si>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</si>
  <si>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</si>
  <si>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</si>
  <si>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</si>
  <si>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</si>
  <si>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</si>
  <si>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</si>
  <si>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</si>
  <si>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</si>
  <si>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</si>
  <si>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</si>
  <si>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</si>
  <si>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</si>
  <si>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</si>
  <si>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</si>
  <si>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</si>
  <si>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</si>
  <si>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</si>
  <si>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</si>
  <si>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</si>
  <si>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</si>
  <si>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</si>
  <si>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</si>
  <si>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</si>
  <si>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</si>
  <si>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</si>
  <si>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</si>
  <si>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</si>
  <si>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</si>
  <si>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</si>
  <si>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</si>
  <si>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</si>
  <si>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</si>
  <si>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</si>
  <si>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</si>
  <si>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</si>
  <si>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</si>
  <si>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</si>
  <si>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</si>
  <si>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</si>
  <si>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</si>
  <si>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</si>
  <si>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</si>
  <si>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</si>
  <si>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</si>
  <si>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</si>
  <si>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</si>
  <si>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</si>
  <si>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</si>
  <si>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</si>
  <si>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</si>
  <si>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</si>
  <si>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</si>
  <si>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</si>
  <si>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</si>
  <si>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</si>
  <si>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</si>
  <si>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</si>
  <si>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</si>
  <si>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</si>
  <si>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</si>
  <si>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</si>
  <si>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</si>
  <si>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</si>
  <si>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</si>
  <si>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</si>
  <si>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</si>
  <si>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</si>
  <si>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</si>
  <si>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</si>
  <si>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</si>
  <si>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</si>
  <si>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</si>
  <si>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</si>
  <si>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</si>
  <si>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</si>
  <si>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</si>
  <si>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</si>
  <si>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</si>
  <si>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</si>
  <si>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</si>
  <si>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</si>
  <si>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</si>
  <si>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</si>
  <si>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</si>
  <si>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</si>
  <si>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</si>
  <si>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</si>
  <si>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</si>
  <si>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</si>
  <si>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</si>
  <si>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</si>
  <si>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</si>
  <si>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</si>
  <si>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</si>
  <si>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</si>
  <si>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</si>
  <si>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</si>
  <si>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</si>
  <si>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</si>
  <si>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</si>
  <si>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</si>
  <si>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</si>
  <si>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</si>
  <si>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</si>
  <si>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</si>
  <si>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</si>
  <si>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</si>
  <si>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</si>
  <si>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</si>
  <si>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</si>
  <si>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</si>
  <si>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</si>
  <si>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</si>
  <si>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</si>
  <si>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</si>
  <si>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</si>
  <si>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</si>
  <si>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</si>
  <si>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</si>
  <si>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</si>
  <si>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</si>
  <si>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</si>
  <si>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</si>
  <si>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</si>
  <si>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</si>
  <si>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</si>
  <si>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</si>
  <si>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</si>
  <si>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</si>
  <si>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</si>
  <si>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</si>
  <si>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</si>
  <si>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</si>
  <si>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</si>
  <si>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</si>
  <si>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</si>
  <si>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</si>
  <si>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</si>
  <si>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</si>
  <si>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</si>
  <si>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</si>
  <si>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</si>
  <si>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</si>
  <si>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</si>
  <si>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</si>
  <si>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</si>
  <si>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</si>
  <si>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</si>
  <si>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</si>
  <si>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</si>
  <si>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</si>
  <si>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</si>
  <si>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</si>
  <si>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</si>
  <si>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</si>
  <si>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</si>
  <si>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</si>
  <si>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</si>
  <si>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</si>
  <si>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</si>
  <si>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</si>
  <si>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</si>
  <si>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</si>
  <si>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</si>
  <si>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</si>
  <si>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</si>
  <si>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</si>
  <si>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</si>
  <si>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</si>
  <si>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</si>
  <si>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</si>
  <si>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</si>
  <si>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</si>
  <si>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</si>
  <si>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</si>
  <si>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</si>
  <si>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</si>
  <si>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</si>
  <si>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</si>
  <si>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</si>
  <si>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</si>
  <si>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</si>
  <si>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</si>
  <si>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</si>
  <si>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</si>
  <si>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</si>
  <si>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</si>
  <si>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</si>
  <si>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</si>
  <si>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</si>
  <si>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</si>
  <si>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</si>
  <si>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</si>
  <si>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</si>
  <si>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</si>
  <si>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</si>
  <si>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</si>
  <si>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</si>
  <si>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</si>
  <si>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</si>
  <si>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</si>
  <si>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</si>
  <si>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</si>
  <si>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</si>
  <si>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</si>
  <si>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</si>
  <si>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</si>
  <si>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</si>
  <si>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</si>
  <si>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</si>
  <si>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</si>
  <si>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</si>
  <si>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</si>
  <si>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</si>
  <si>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</si>
  <si>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</si>
  <si>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</si>
  <si>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</si>
  <si>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</si>
  <si>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</si>
  <si>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</si>
  <si>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</si>
  <si>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</si>
  <si>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</si>
  <si>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</si>
  <si>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</si>
  <si>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</si>
  <si>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</si>
  <si>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</si>
  <si>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</si>
  <si>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</si>
  <si>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</si>
  <si>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</si>
  <si>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</si>
  <si>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</si>
  <si>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</si>
  <si>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</si>
  <si>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</si>
  <si>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</si>
  <si>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</si>
  <si>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</si>
  <si>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</si>
  <si>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</si>
  <si>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</si>
  <si>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</si>
  <si>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</si>
  <si>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</si>
  <si>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</si>
  <si>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</si>
  <si>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</si>
  <si>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</si>
  <si>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</si>
  <si>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</si>
  <si>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</si>
  <si>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</si>
  <si>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</si>
  <si>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</si>
  <si>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</si>
  <si>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</si>
  <si>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</si>
  <si>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</si>
  <si>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</si>
  <si>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</si>
  <si>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</si>
  <si>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</si>
  <si>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</si>
  <si>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</si>
  <si>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</si>
  <si>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</si>
  <si>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</si>
  <si>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</si>
  <si>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</si>
  <si>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</si>
  <si>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</si>
  <si>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</si>
  <si>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</si>
  <si>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</si>
  <si>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</si>
  <si>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</si>
  <si>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</si>
  <si>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</si>
  <si>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</si>
  <si>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</si>
  <si>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</si>
  <si>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</si>
  <si>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</si>
  <si>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</si>
  <si>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</si>
  <si>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</si>
  <si>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</si>
  <si>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</si>
  <si>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</si>
  <si>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</si>
  <si>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</si>
  <si>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</si>
  <si>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</si>
  <si>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</si>
  <si>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</si>
  <si>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</si>
  <si>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</si>
  <si>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</si>
  <si>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</si>
  <si>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</si>
  <si>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</si>
  <si>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</si>
  <si>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</si>
  <si>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</si>
  <si>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</si>
  <si>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</si>
  <si>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</si>
  <si>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</si>
  <si>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</si>
  <si>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</si>
  <si>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</si>
  <si>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</si>
  <si>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</si>
  <si>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</si>
  <si>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</si>
  <si>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</si>
  <si>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</si>
  <si>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</si>
  <si>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</si>
  <si>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</si>
  <si>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</si>
  <si>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</si>
  <si>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</si>
  <si>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</si>
  <si>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</si>
  <si>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</si>
  <si>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</si>
  <si>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</si>
  <si>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</si>
  <si>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</si>
  <si>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</si>
  <si>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</si>
  <si>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</si>
  <si>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</si>
  <si>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</si>
  <si>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</si>
  <si>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</si>
  <si>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</si>
  <si>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</si>
  <si>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</si>
  <si>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</si>
  <si>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</si>
  <si>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</si>
  <si>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</si>
  <si>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</si>
  <si>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</si>
  <si>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</si>
  <si>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</si>
  <si>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</si>
  <si>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</si>
  <si>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</si>
  <si>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</si>
  <si>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</si>
  <si>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</si>
  <si>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</si>
  <si>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</si>
  <si>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</si>
  <si>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</si>
  <si>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</si>
  <si>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</si>
  <si>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</si>
  <si>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</si>
  <si>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</si>
  <si>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</si>
  <si>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</si>
  <si>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</si>
  <si>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</si>
  <si>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</si>
  <si>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</si>
  <si>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</si>
  <si>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</si>
  <si>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</si>
  <si>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</si>
  <si>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</si>
  <si>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</si>
  <si>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</si>
  <si>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</si>
  <si>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</si>
  <si>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</si>
  <si>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</si>
  <si>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</si>
  <si>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</si>
  <si>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</si>
  <si>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</si>
  <si>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</si>
  <si>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</si>
  <si>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</si>
  <si>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</si>
  <si>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</si>
  <si>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</si>
  <si>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</si>
  <si>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</si>
  <si>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</si>
  <si>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</si>
  <si>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</si>
  <si>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</si>
  <si>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</si>
  <si>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</si>
  <si>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</si>
  <si>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</si>
  <si>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</si>
  <si>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</si>
  <si>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</si>
  <si>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</si>
  <si>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</si>
  <si>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</si>
  <si>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</si>
  <si>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</si>
  <si>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</si>
  <si>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</si>
  <si>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</si>
  <si>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</si>
  <si>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</si>
  <si>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</si>
  <si>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</si>
  <si>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</si>
  <si>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</si>
  <si>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</si>
  <si>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</si>
  <si>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</si>
  <si>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</si>
  <si>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</si>
  <si>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</si>
  <si>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</si>
  <si>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</si>
  <si>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</si>
  <si>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</si>
  <si>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</si>
  <si>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</si>
  <si>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</si>
  <si>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</si>
  <si>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</si>
  <si>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</si>
  <si>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</si>
  <si>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</si>
  <si>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</si>
  <si>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</si>
  <si>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</si>
  <si>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</si>
  <si>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</si>
  <si>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</si>
  <si>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</si>
  <si>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</si>
  <si>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</si>
  <si>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</si>
  <si>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</si>
  <si>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</si>
  <si>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</si>
  <si>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</si>
  <si>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</si>
  <si>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</si>
  <si>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</si>
  <si>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</si>
  <si>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</si>
  <si>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</si>
  <si>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</si>
  <si>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</si>
  <si>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</si>
  <si>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</si>
  <si>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</si>
  <si>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</si>
  <si>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</si>
  <si>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</si>
  <si>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</si>
  <si>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</si>
  <si>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</si>
  <si>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</si>
  <si>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</si>
  <si>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</si>
  <si>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</si>
  <si>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</si>
  <si>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</si>
  <si>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</si>
  <si>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</si>
  <si>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</si>
  <si>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</si>
  <si>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</si>
  <si>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</si>
  <si>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</si>
  <si>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</si>
  <si>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</si>
  <si>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</si>
  <si>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</si>
  <si>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</si>
  <si>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</si>
  <si>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</si>
  <si>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</si>
  <si>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</si>
  <si>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</si>
  <si>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</si>
  <si>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</si>
  <si>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</si>
  <si>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</si>
  <si>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</si>
  <si>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</si>
  <si>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</si>
  <si>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</si>
  <si>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</si>
  <si>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</si>
  <si>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</si>
  <si>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</si>
  <si>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</si>
  <si>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</si>
  <si>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</si>
  <si>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</si>
  <si>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</si>
  <si>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</si>
  <si>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</si>
  <si>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</si>
  <si>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</si>
  <si>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</si>
  <si>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</si>
  <si>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</si>
  <si>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</si>
  <si>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</si>
  <si>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</si>
  <si>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</si>
  <si>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</si>
  <si>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</si>
  <si>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</si>
  <si>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</si>
  <si>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</si>
  <si>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</si>
  <si>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</si>
  <si>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</si>
  <si>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</si>
  <si>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</si>
  <si>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</si>
  <si>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</si>
  <si>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</si>
  <si>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</si>
  <si>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</si>
  <si>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</si>
  <si>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</si>
  <si>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</si>
  <si>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</si>
  <si>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</si>
  <si>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</si>
  <si>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</si>
  <si>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</si>
  <si>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</si>
  <si>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</si>
  <si>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</si>
  <si>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</si>
  <si>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</si>
  <si>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</si>
  <si>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</si>
  <si>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</si>
  <si>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</si>
  <si>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</si>
  <si>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</si>
  <si>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</si>
  <si>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</si>
  <si>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</si>
  <si>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</si>
  <si>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</si>
  <si>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</si>
  <si>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</si>
  <si>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</si>
  <si>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</si>
  <si>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</si>
  <si>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</si>
  <si>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</si>
  <si>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</si>
  <si>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</si>
  <si>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</si>
  <si>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</si>
  <si>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</si>
  <si>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</si>
  <si>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</si>
  <si>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</si>
  <si>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</si>
  <si>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</si>
  <si>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</si>
  <si>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</si>
  <si>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</si>
  <si>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</si>
  <si>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</si>
  <si>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</si>
  <si>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</si>
  <si>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</si>
  <si>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</si>
  <si>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</si>
  <si>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</si>
  <si>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</si>
  <si>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</si>
  <si>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</si>
  <si>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</si>
  <si>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</si>
  <si>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</si>
  <si>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</si>
  <si>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</si>
  <si>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</si>
  <si>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</si>
  <si>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</si>
  <si>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</si>
  <si>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</si>
  <si>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</si>
  <si>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</si>
  <si>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</si>
  <si>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</si>
  <si>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</si>
  <si>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</si>
  <si>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</si>
  <si>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</si>
  <si>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</si>
  <si>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</si>
  <si>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</si>
  <si>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</si>
  <si>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</si>
  <si>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</si>
  <si>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</si>
  <si>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</si>
  <si>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</si>
  <si>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</si>
  <si>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</si>
  <si>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</si>
  <si>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</si>
  <si>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</si>
  <si>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</si>
  <si>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</si>
  <si>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</si>
  <si>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</si>
  <si>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</si>
  <si>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</si>
  <si>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</si>
  <si>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</si>
  <si>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</si>
  <si>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</si>
  <si>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</si>
  <si>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</si>
  <si>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</si>
  <si>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</si>
  <si>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</si>
  <si>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</si>
  <si>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</si>
  <si>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</si>
  <si>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</si>
  <si>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</si>
  <si>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</si>
  <si>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</si>
  <si>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</si>
  <si>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</si>
  <si>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</si>
  <si>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</si>
  <si>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</si>
  <si>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</si>
  <si>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</si>
  <si>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</si>
  <si>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</si>
  <si>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</si>
  <si>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</si>
  <si>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</si>
  <si>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</si>
  <si>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</si>
  <si>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</si>
  <si>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</si>
  <si>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</si>
  <si>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</si>
  <si>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</si>
  <si>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</si>
  <si>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</si>
  <si>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</si>
  <si>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</si>
  <si>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</si>
  <si>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</si>
  <si>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</si>
  <si>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</si>
  <si>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</si>
  <si>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</si>
  <si>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</si>
  <si>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</si>
  <si>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</si>
  <si>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</si>
  <si>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</si>
  <si>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</si>
  <si>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</si>
  <si>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</si>
  <si>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</si>
  <si>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</si>
  <si>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</si>
  <si>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</si>
  <si>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</si>
  <si>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</si>
  <si>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</si>
  <si>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</si>
  <si>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</si>
  <si>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</si>
  <si>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</si>
  <si>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</si>
  <si>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</si>
  <si>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</si>
  <si>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</si>
  <si>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</si>
  <si>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</si>
  <si>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</si>
  <si>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</si>
  <si>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</si>
  <si>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</si>
  <si>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</si>
  <si>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</si>
  <si>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</si>
  <si>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</si>
  <si>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</si>
  <si>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</si>
  <si>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</si>
  <si>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</si>
  <si>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</si>
  <si>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</si>
  <si>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</si>
  <si>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</si>
  <si>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</si>
  <si>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</si>
  <si>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</si>
  <si>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</si>
  <si>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</si>
  <si>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</si>
  <si>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</si>
  <si>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</si>
  <si>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</si>
  <si>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</si>
  <si>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</si>
  <si>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</si>
  <si>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</si>
  <si>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</si>
  <si>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</si>
  <si>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</si>
  <si>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</si>
  <si>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</si>
  <si>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</si>
  <si>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</si>
  <si>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</si>
  <si>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</si>
  <si>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</si>
  <si>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</si>
  <si>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</si>
  <si>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</si>
  <si>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</si>
  <si>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</si>
  <si>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</si>
  <si>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</si>
  <si>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</si>
  <si>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</si>
  <si>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</si>
  <si>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</si>
  <si>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</si>
  <si>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</si>
  <si>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</si>
  <si>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</si>
  <si>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</si>
  <si>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</si>
  <si>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</si>
  <si>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</si>
  <si>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</si>
  <si>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</si>
  <si>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</si>
  <si>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</si>
  <si>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</si>
  <si>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</si>
  <si>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</si>
  <si>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</si>
  <si>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</si>
  <si>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</si>
  <si>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</si>
  <si>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</si>
  <si>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</si>
  <si>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</si>
  <si>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</si>
  <si>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</si>
  <si>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</si>
  <si>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</si>
  <si>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</si>
  <si>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</si>
  <si>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</si>
  <si>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</si>
  <si>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</si>
  <si>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</si>
  <si>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</si>
  <si>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</si>
  <si>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</si>
  <si>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</si>
  <si>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</si>
  <si>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</si>
  <si>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</si>
  <si>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</si>
  <si>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</si>
  <si>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</si>
  <si>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</si>
  <si>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</si>
  <si>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</si>
  <si>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</si>
  <si>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</si>
  <si>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</si>
  <si>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</si>
  <si>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</si>
  <si>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</si>
  <si>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</si>
  <si>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</si>
  <si>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</si>
  <si>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</si>
  <si>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</si>
  <si>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</si>
  <si>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</si>
  <si>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</si>
  <si>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</si>
  <si>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</si>
  <si>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</si>
  <si>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</si>
  <si>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</si>
  <si>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</si>
  <si>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</si>
  <si>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</si>
  <si>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</si>
  <si>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</si>
  <si>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</si>
  <si>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</si>
  <si>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</si>
  <si>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</si>
  <si>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</si>
  <si>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</si>
  <si>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</si>
  <si>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</si>
  <si>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</si>
  <si>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</si>
  <si>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</si>
  <si>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</si>
  <si>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</si>
  <si>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</si>
  <si>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</si>
  <si>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</si>
  <si>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</si>
  <si>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</si>
  <si>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</si>
  <si>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</si>
  <si>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</si>
  <si>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</si>
  <si>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</si>
  <si>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</si>
  <si>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</si>
  <si>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</si>
  <si>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</si>
  <si>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</si>
  <si>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</si>
  <si>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</si>
  <si>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</si>
  <si>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</si>
  <si>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</si>
  <si>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</si>
  <si>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</si>
  <si>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</si>
  <si>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</si>
  <si>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</si>
  <si>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</si>
  <si>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</si>
  <si>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</si>
  <si>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</si>
  <si>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</si>
  <si>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</si>
  <si>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</si>
  <si>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</si>
  <si>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</si>
  <si>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</si>
  <si>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</si>
  <si>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</si>
  <si>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</si>
  <si>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</si>
  <si>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</si>
  <si>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</si>
  <si>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</si>
  <si>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</si>
  <si>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</si>
  <si>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</si>
  <si>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</si>
  <si>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</si>
  <si>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</si>
  <si>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</si>
  <si>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</si>
  <si>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</si>
  <si>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</si>
  <si>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</si>
  <si>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</si>
  <si>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</si>
  <si>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</si>
  <si>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</si>
  <si>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</si>
  <si>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</si>
  <si>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</si>
  <si>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</si>
  <si>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</si>
  <si>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</si>
  <si>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</si>
  <si>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</si>
  <si>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</si>
  <si>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</si>
  <si>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</si>
  <si>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</si>
  <si>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</si>
  <si>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</si>
  <si>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</si>
  <si>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</si>
  <si>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</si>
  <si>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</si>
  <si>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</si>
  <si>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</si>
  <si>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</si>
  <si>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</si>
  <si>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</si>
  <si>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</si>
  <si>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</si>
  <si>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</si>
  <si>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</si>
  <si>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</si>
  <si>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</si>
  <si>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</si>
  <si>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</si>
  <si>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</si>
  <si>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</si>
  <si>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</si>
  <si>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</si>
  <si>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</si>
  <si>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</si>
  <si>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</si>
  <si>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</si>
  <si>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</si>
  <si>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</si>
  <si>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</si>
  <si>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</si>
  <si>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</si>
  <si>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</si>
  <si>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</si>
  <si>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</si>
  <si>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</si>
  <si>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</si>
  <si>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</si>
  <si>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</si>
  <si>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</si>
  <si>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</si>
  <si>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</si>
  <si>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</si>
  <si>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</si>
  <si>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</si>
  <si>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</si>
  <si>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</si>
  <si>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</si>
  <si>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</si>
  <si>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</si>
  <si>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</si>
  <si>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</si>
  <si>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</si>
  <si>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</si>
  <si>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</si>
  <si>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</si>
  <si>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</si>
  <si>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</si>
  <si>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</si>
  <si>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</si>
  <si>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</si>
  <si>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</si>
  <si>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</si>
  <si>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</si>
  <si>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</si>
  <si>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</si>
  <si>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</si>
  <si>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</si>
  <si>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</si>
  <si>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</si>
  <si>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</si>
  <si>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</si>
  <si>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</si>
  <si>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</si>
  <si>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</si>
  <si>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</si>
  <si>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</si>
  <si>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</si>
  <si>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</si>
  <si>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</si>
  <si>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</si>
  <si>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</si>
  <si>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</si>
  <si>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</si>
  <si>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</si>
  <si>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</si>
  <si>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</si>
  <si>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</si>
  <si>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</si>
  <si>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</si>
  <si>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</si>
  <si>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</si>
  <si>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</si>
  <si>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</si>
  <si>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</si>
  <si>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</si>
  <si>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</si>
  <si>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</si>
  <si>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</si>
  <si>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</si>
  <si>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</si>
  <si>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</si>
  <si>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</si>
  <si>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</si>
  <si>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</si>
  <si>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</si>
  <si>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</si>
  <si>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</si>
  <si>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</si>
  <si>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</si>
  <si>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</si>
  <si>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</si>
  <si>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</si>
  <si>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</si>
  <si>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</si>
  <si>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</si>
  <si>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</si>
  <si>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</si>
  <si>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</si>
  <si>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</si>
  <si>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</si>
  <si>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</si>
  <si>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</si>
  <si>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</si>
  <si>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</si>
  <si>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</si>
  <si>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</si>
  <si>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</si>
  <si>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</si>
  <si>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</si>
  <si>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</si>
  <si>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</si>
  <si>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</si>
  <si>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</si>
  <si>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</si>
  <si>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</si>
  <si>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</si>
  <si>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</si>
  <si>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</si>
  <si>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</si>
  <si>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</si>
  <si>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</si>
  <si>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</si>
  <si>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</si>
  <si>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</si>
  <si>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</si>
  <si>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</si>
  <si>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</si>
  <si>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</si>
  <si>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</si>
  <si>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</si>
  <si>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</si>
  <si>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</si>
  <si>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</si>
  <si>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</si>
  <si>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</si>
  <si>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</si>
  <si>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</si>
  <si>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</si>
  <si>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</si>
  <si>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</si>
  <si>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</si>
  <si>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</si>
  <si>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</si>
  <si>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</si>
  <si>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</si>
  <si>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</si>
  <si>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</si>
  <si>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</si>
  <si>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</si>
  <si>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</si>
  <si>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</si>
  <si>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</si>
  <si>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</si>
  <si>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</si>
  <si>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</si>
  <si>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</si>
  <si>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</si>
  <si>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</si>
  <si>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</si>
  <si>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</si>
  <si>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</si>
  <si>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</si>
  <si>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</si>
  <si>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</si>
  <si>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</si>
  <si>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</si>
  <si>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</si>
  <si>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</si>
  <si>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</si>
  <si>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</si>
  <si>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</si>
  <si>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</si>
  <si>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</si>
  <si>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</si>
  <si>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</si>
  <si>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</si>
  <si>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</si>
  <si>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</si>
  <si>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</si>
  <si>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</si>
  <si>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</si>
  <si>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</si>
  <si>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</si>
  <si>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</si>
  <si>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</si>
  <si>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</si>
  <si>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</si>
  <si>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</si>
  <si>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</si>
  <si>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</si>
  <si>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</si>
  <si>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</si>
  <si>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</si>
  <si>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</si>
  <si>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</si>
  <si>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</si>
  <si>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</si>
  <si>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</si>
  <si>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</si>
  <si>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</si>
  <si>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</si>
  <si>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</si>
  <si>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</si>
  <si>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</si>
  <si>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</si>
  <si>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</si>
  <si>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</si>
  <si>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</si>
  <si>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</si>
  <si>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</si>
  <si>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</si>
  <si>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</si>
  <si>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</si>
  <si>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</si>
  <si>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</si>
  <si>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</si>
  <si>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</si>
  <si>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</si>
  <si>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</si>
  <si>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</si>
  <si>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</si>
  <si>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</si>
  <si>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</si>
  <si>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</si>
  <si>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</si>
  <si>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</si>
  <si>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</si>
  <si>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</si>
  <si>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</si>
  <si>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</si>
  <si>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</si>
  <si>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</si>
  <si>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</si>
  <si>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</si>
  <si>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</si>
  <si>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</si>
  <si>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</si>
  <si>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</si>
  <si>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</si>
  <si>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</si>
  <si>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</si>
  <si>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</si>
  <si>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</si>
  <si>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</si>
  <si>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</si>
  <si>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</si>
  <si>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</si>
  <si>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</si>
  <si>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</si>
  <si>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</si>
  <si>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</si>
  <si>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</si>
  <si>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</si>
  <si>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</si>
  <si>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</si>
  <si>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</si>
  <si>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</si>
  <si>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</si>
  <si>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</si>
  <si>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</si>
  <si>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</si>
  <si>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</si>
  <si>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</si>
  <si>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</si>
  <si>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</si>
  <si>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</si>
  <si>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</si>
  <si>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</si>
  <si>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</si>
  <si>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</si>
  <si>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</si>
  <si>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</si>
  <si>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</si>
  <si>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</si>
  <si>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</si>
  <si>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</si>
  <si>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</si>
  <si>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</si>
  <si>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</si>
  <si>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</si>
  <si>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</si>
  <si>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</si>
  <si>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</si>
  <si>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</si>
  <si>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</si>
  <si>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</si>
  <si>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</si>
  <si>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</si>
  <si>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</si>
  <si>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</si>
  <si>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</si>
  <si>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</si>
  <si>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</si>
  <si>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</si>
  <si>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</si>
  <si>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</si>
  <si>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</si>
  <si>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</si>
  <si>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</si>
  <si>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</si>
  <si>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</si>
  <si>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</si>
  <si>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</si>
  <si>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</si>
  <si>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</si>
  <si>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</si>
  <si>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</si>
  <si>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</si>
  <si>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</si>
  <si>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</si>
  <si>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</si>
  <si>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</si>
  <si>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</si>
  <si>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</si>
  <si>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</si>
  <si>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</si>
  <si>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</si>
  <si>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</si>
  <si>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</si>
  <si>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</si>
  <si>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</si>
  <si>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</si>
  <si>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</si>
  <si>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</si>
  <si>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</si>
  <si>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</si>
  <si>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</si>
  <si>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</si>
  <si>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</si>
  <si>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</si>
  <si>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</si>
  <si>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</si>
  <si>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</si>
  <si>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</si>
  <si>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</si>
  <si>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</si>
  <si>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</si>
  <si>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</si>
  <si>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</si>
  <si>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</si>
  <si>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</si>
  <si>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</si>
  <si>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</si>
  <si>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</si>
  <si>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</si>
  <si>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</si>
  <si>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</si>
  <si>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</si>
  <si>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</si>
  <si>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</si>
  <si>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</si>
  <si>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</si>
  <si>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</si>
  <si>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</si>
  <si>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</si>
  <si>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</si>
  <si>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</si>
  <si>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</si>
  <si>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</si>
  <si>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</si>
  <si>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</si>
  <si>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</si>
  <si>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</si>
  <si>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</si>
  <si>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</si>
  <si>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</si>
  <si>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</si>
  <si>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</si>
  <si>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</si>
  <si>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</si>
  <si>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</si>
  <si>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</si>
  <si>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</si>
  <si>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</si>
  <si>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</si>
  <si>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</si>
  <si>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</si>
  <si>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</si>
  <si>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</si>
  <si>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</si>
  <si>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</si>
  <si>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</si>
  <si>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</si>
  <si>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</si>
  <si>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</si>
  <si>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</si>
  <si>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</si>
  <si>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</si>
  <si>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</si>
  <si>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</si>
  <si>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</si>
  <si>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</si>
  <si>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</si>
  <si>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</si>
  <si>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</si>
  <si>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</si>
  <si>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</si>
  <si>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</si>
  <si>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</si>
  <si>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</si>
  <si>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</si>
  <si>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</si>
  <si>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</si>
  <si>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</si>
  <si>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</si>
  <si>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</si>
  <si>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</si>
  <si>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</si>
  <si>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</si>
  <si>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</si>
  <si>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</si>
  <si>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</si>
  <si>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</si>
  <si>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</si>
  <si>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</si>
  <si>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</si>
  <si>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</si>
  <si>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</si>
  <si>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</si>
  <si>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</si>
  <si>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</si>
  <si>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</si>
  <si>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</si>
  <si>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</si>
  <si>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</si>
  <si>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</si>
  <si>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</si>
  <si>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</si>
  <si>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</si>
  <si>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</si>
  <si>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</si>
  <si>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</si>
  <si>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</si>
  <si>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</si>
  <si>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</si>
  <si>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</si>
  <si>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</si>
  <si>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</si>
  <si>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</si>
  <si>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</si>
  <si>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</si>
  <si>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</si>
  <si>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</si>
  <si>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</si>
  <si>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</si>
  <si>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</si>
  <si>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</si>
  <si>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</si>
  <si>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</si>
  <si>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</si>
  <si>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</si>
  <si>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</si>
  <si>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</si>
  <si>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</si>
  <si>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</si>
  <si>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</si>
  <si>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</si>
  <si>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</si>
  <si>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</si>
  <si>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</si>
  <si>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</si>
  <si>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</si>
  <si>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</si>
  <si>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</si>
  <si>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</si>
  <si>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</si>
  <si>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</si>
  <si>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</si>
  <si>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</si>
  <si>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</si>
  <si>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</si>
  <si>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</si>
  <si>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</si>
  <si>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</si>
  <si>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</si>
  <si>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</si>
  <si>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</si>
  <si>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</si>
  <si>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</si>
  <si>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</si>
  <si>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</si>
  <si>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</si>
  <si>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</si>
  <si>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</si>
  <si>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</si>
  <si>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</si>
  <si>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</si>
  <si>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</si>
  <si>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</si>
  <si>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</si>
  <si>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</si>
  <si>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</si>
  <si>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</si>
  <si>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</si>
  <si>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</si>
  <si>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</si>
  <si>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</si>
  <si>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</si>
  <si>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</si>
  <si>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</si>
  <si>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</si>
  <si>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</si>
  <si>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</si>
  <si>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</si>
  <si>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</si>
  <si>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</si>
  <si>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</si>
  <si>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</si>
  <si>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</si>
  <si>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</si>
  <si>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</si>
  <si>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</si>
  <si>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</si>
  <si>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</si>
  <si>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</si>
  <si>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</si>
  <si>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</si>
  <si>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</si>
  <si>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</si>
  <si>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</si>
  <si>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</si>
  <si>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</si>
  <si>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</si>
  <si>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</si>
  <si>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</si>
  <si>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</si>
  <si>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</si>
  <si>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</si>
  <si>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</si>
  <si>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</si>
  <si>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</si>
  <si>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</si>
  <si>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</si>
  <si>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</si>
  <si>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</si>
  <si>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</si>
  <si>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</si>
  <si>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</si>
  <si>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</si>
  <si>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</si>
  <si>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</si>
  <si>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</si>
  <si>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</si>
  <si>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</si>
  <si>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</si>
  <si>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</si>
  <si>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</si>
  <si>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</si>
  <si>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</si>
  <si>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</si>
  <si>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</si>
  <si>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</si>
  <si>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</si>
  <si>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</si>
  <si>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</si>
  <si>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</si>
  <si>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</si>
  <si>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</si>
  <si>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</si>
  <si>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</si>
  <si>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</si>
  <si>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</si>
  <si>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</si>
  <si>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</si>
  <si>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</si>
  <si>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</si>
  <si>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</si>
  <si>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</si>
  <si>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</si>
  <si>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</si>
  <si>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</si>
  <si>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</si>
  <si>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</si>
  <si>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</si>
  <si>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</si>
  <si>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</si>
  <si>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</si>
  <si>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</si>
  <si>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</si>
  <si>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</si>
  <si>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</si>
  <si>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</si>
  <si>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</si>
  <si>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</si>
  <si>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</si>
  <si>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</si>
  <si>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</si>
  <si>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</si>
  <si>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</si>
  <si>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</si>
  <si>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</si>
  <si>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</si>
  <si>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</si>
  <si>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</si>
  <si>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</si>
  <si>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</si>
  <si>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</si>
  <si>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</si>
  <si>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</si>
  <si>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</si>
  <si>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</si>
  <si>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</si>
  <si>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</si>
  <si>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</si>
  <si>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</si>
  <si>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</si>
  <si>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</si>
  <si>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</si>
  <si>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</si>
  <si>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</si>
  <si>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</si>
  <si>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</si>
  <si>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</si>
  <si>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</si>
  <si>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</si>
  <si>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</si>
  <si>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</si>
  <si>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</si>
  <si>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</si>
  <si>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</si>
  <si>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</si>
  <si>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</si>
  <si>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</si>
  <si>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</si>
  <si>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</si>
  <si>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</si>
  <si>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</si>
  <si>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</si>
  <si>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</si>
  <si>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</si>
  <si>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</si>
  <si>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</si>
  <si>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</si>
  <si>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</si>
  <si>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</si>
  <si>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</si>
  <si>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</si>
  <si>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</si>
  <si>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</si>
  <si>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</si>
  <si>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</si>
  <si>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</si>
  <si>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</si>
  <si>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</si>
  <si>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</si>
  <si>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</si>
  <si>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</si>
  <si>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</si>
  <si>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</si>
  <si>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</si>
  <si>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</si>
  <si>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</si>
  <si>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</si>
  <si>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</si>
  <si>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</si>
  <si>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</si>
  <si>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</si>
  <si>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</si>
  <si>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</si>
  <si>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</si>
  <si>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</si>
  <si>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</si>
  <si>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</si>
  <si>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</si>
  <si>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</si>
  <si>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</si>
  <si>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</si>
  <si>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</si>
  <si>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</si>
  <si>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</si>
  <si>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</si>
  <si>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</si>
  <si>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</si>
  <si>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</si>
  <si>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</si>
  <si>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</si>
  <si>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</si>
  <si>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</si>
  <si>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</si>
  <si>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</si>
  <si>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</si>
  <si>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</si>
  <si>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</si>
  <si>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</si>
  <si>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</si>
  <si>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</si>
  <si>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</si>
  <si>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</si>
  <si>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</si>
  <si>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</si>
  <si>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</si>
  <si>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</si>
  <si>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</si>
  <si>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</si>
  <si>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</si>
  <si>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</si>
  <si>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</si>
  <si>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</si>
  <si>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</si>
  <si>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</si>
  <si>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</si>
  <si>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</si>
  <si>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</si>
  <si>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</si>
  <si>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</si>
  <si>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</si>
  <si>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</si>
  <si>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</si>
  <si>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</si>
  <si>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</si>
  <si>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</si>
  <si>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</si>
  <si>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</si>
  <si>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</si>
  <si>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</si>
  <si>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</si>
  <si>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</si>
  <si>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</si>
  <si>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</si>
  <si>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</si>
  <si>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</si>
  <si>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</si>
  <si>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</si>
  <si>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</si>
  <si>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</si>
  <si>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</si>
  <si>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</si>
  <si>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</si>
  <si>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</si>
  <si>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</si>
  <si>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</si>
  <si>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</si>
  <si>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</si>
  <si>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</si>
  <si>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</si>
  <si>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</si>
  <si>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</si>
  <si>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</si>
  <si>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</si>
  <si>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</si>
  <si>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</si>
  <si>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</si>
  <si>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</si>
  <si>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</si>
  <si>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</si>
  <si>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</si>
  <si>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</si>
  <si>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</si>
  <si>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</si>
  <si>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</si>
  <si>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</si>
  <si>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</si>
  <si>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</si>
  <si>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</si>
  <si>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</si>
  <si>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</si>
  <si>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</si>
  <si>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</si>
  <si>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</si>
  <si>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</si>
  <si>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</si>
  <si>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</si>
  <si>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</si>
  <si>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</si>
  <si>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</si>
  <si>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</si>
  <si>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</si>
  <si>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</si>
  <si>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</si>
  <si>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</si>
  <si>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</si>
  <si>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</si>
  <si>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</si>
  <si>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</si>
  <si>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</si>
  <si>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</si>
  <si>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</si>
  <si>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</si>
  <si>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</si>
  <si>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</si>
  <si>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</si>
  <si>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</si>
  <si>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</si>
  <si>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</si>
  <si>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</si>
  <si>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</si>
  <si>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</si>
  <si>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</si>
  <si>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</si>
  <si>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</si>
  <si>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</si>
  <si>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</si>
  <si>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</si>
  <si>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</si>
  <si>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</si>
  <si>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</si>
  <si>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</si>
  <si>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</si>
  <si>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</si>
  <si>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</si>
  <si>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</si>
  <si>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</si>
  <si>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</si>
  <si>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</si>
  <si>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</si>
  <si>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</si>
  <si>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</si>
  <si>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</si>
  <si>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</si>
  <si>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</si>
  <si>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</si>
  <si>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</si>
  <si>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</si>
  <si>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</si>
  <si>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</si>
  <si>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</si>
  <si>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</si>
  <si>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</si>
  <si>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</si>
  <si>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</si>
  <si>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</si>
  <si>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</si>
  <si>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</si>
  <si>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</si>
  <si>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</si>
  <si>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</si>
  <si>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</si>
  <si>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</si>
  <si>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</si>
  <si>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</si>
  <si>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</si>
  <si>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</si>
  <si>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</si>
  <si>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</si>
  <si>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</si>
  <si>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</si>
  <si>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</si>
  <si>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</si>
  <si>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</si>
  <si>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</si>
  <si>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</si>
  <si>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</si>
  <si>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</si>
  <si>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</si>
  <si>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</si>
  <si>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</si>
  <si>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</si>
  <si>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</si>
  <si>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</si>
  <si>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</si>
  <si>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</si>
  <si>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</si>
  <si>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</si>
  <si>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</si>
  <si>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</si>
  <si>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</si>
  <si>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</si>
  <si>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</si>
  <si>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</si>
  <si>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</si>
  <si>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</si>
  <si>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</si>
  <si>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</si>
  <si>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</si>
  <si>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</si>
  <si>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</si>
  <si>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</si>
  <si>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</si>
  <si>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</si>
  <si>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</si>
  <si>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</si>
  <si>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</si>
  <si>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</si>
  <si>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</si>
  <si>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</si>
  <si>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</si>
  <si>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</si>
  <si>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</si>
  <si>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</si>
  <si>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</si>
  <si>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</si>
  <si>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</si>
  <si>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</si>
  <si>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</si>
  <si>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</si>
  <si>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</si>
  <si>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</si>
  <si>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</si>
  <si>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</si>
  <si>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</si>
  <si>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</si>
  <si>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</si>
  <si>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</si>
  <si>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</si>
  <si>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</si>
  <si>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</si>
  <si>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</si>
  <si>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</si>
  <si>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</si>
  <si>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</si>
  <si>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</si>
  <si>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</si>
  <si>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</si>
  <si>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</si>
  <si>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</si>
  <si>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</si>
  <si>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</si>
  <si>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</si>
  <si>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</si>
  <si>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</si>
  <si>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</si>
  <si>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</si>
  <si>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</si>
  <si>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</si>
  <si>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</si>
  <si>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</si>
  <si>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</si>
  <si>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</si>
  <si>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</si>
  <si>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</si>
  <si>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</si>
  <si>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</si>
  <si>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</si>
  <si>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</si>
  <si>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</si>
  <si>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</si>
  <si>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</si>
  <si>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</si>
  <si>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</si>
  <si>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</si>
  <si>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</si>
  <si>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</si>
  <si>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</si>
  <si>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</si>
  <si>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</si>
  <si>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</si>
  <si>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</si>
  <si>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</si>
  <si>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</si>
  <si>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</si>
  <si>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</si>
  <si>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</si>
  <si>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</si>
  <si>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</si>
  <si>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</si>
  <si>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</si>
  <si>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</si>
  <si>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</si>
  <si>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</si>
  <si>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</si>
  <si>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</si>
  <si>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</si>
  <si>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</si>
  <si>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</si>
  <si>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</si>
  <si>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</si>
  <si>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</si>
  <si>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</si>
  <si>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</si>
  <si>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</si>
  <si>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</si>
  <si>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</si>
  <si>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</si>
  <si>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</si>
  <si>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</si>
  <si>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</si>
  <si>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</si>
  <si>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</si>
  <si>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</si>
  <si>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</si>
  <si>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</si>
  <si>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</si>
  <si>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</si>
  <si>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</si>
  <si>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</si>
  <si>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</si>
  <si>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</si>
  <si>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</si>
  <si>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</si>
  <si>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</si>
  <si>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</si>
  <si>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</si>
  <si>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</si>
  <si>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</si>
  <si>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</si>
  <si>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</si>
  <si>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</si>
  <si>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</si>
  <si>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</si>
  <si>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</si>
  <si>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</si>
  <si>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</si>
  <si>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</si>
  <si>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</si>
  <si>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</si>
  <si>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</si>
  <si>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</si>
  <si>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</si>
  <si>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</si>
  <si>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</si>
  <si>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</si>
  <si>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</si>
  <si>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</si>
  <si>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</si>
  <si>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</si>
  <si>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</si>
  <si>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</si>
  <si>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</si>
  <si>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</si>
  <si>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</si>
  <si>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</si>
  <si>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</si>
  <si>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</si>
  <si>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</si>
  <si>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</si>
  <si>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</si>
  <si>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</si>
  <si>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</si>
  <si>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</si>
  <si>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</si>
  <si>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</si>
  <si>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</si>
  <si>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</si>
  <si>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</si>
  <si>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</si>
  <si>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</si>
  <si>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</si>
  <si>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</si>
  <si>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</si>
  <si>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</si>
  <si>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</si>
  <si>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</si>
  <si>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</si>
  <si>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</si>
  <si>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</si>
  <si>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</si>
  <si>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</si>
  <si>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</si>
  <si>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</si>
  <si>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</si>
  <si>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</si>
  <si>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</si>
  <si>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</si>
  <si>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</si>
  <si>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</si>
  <si>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</si>
  <si>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</si>
  <si>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</si>
  <si>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</si>
  <si>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</si>
  <si>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</si>
  <si>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</si>
  <si>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</si>
  <si>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</si>
  <si>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</si>
  <si>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</si>
  <si>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</si>
  <si>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</si>
  <si>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</si>
  <si>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</si>
  <si>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</si>
  <si>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</si>
  <si>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</si>
  <si>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</si>
  <si>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</si>
  <si>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</si>
  <si>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</si>
  <si>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</si>
  <si>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</si>
  <si>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</si>
  <si>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</si>
  <si>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</si>
  <si>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</si>
  <si>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</si>
  <si>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</si>
  <si>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</si>
  <si>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</si>
  <si>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</si>
  <si>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</si>
  <si>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</si>
  <si>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</si>
  <si>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</si>
  <si>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</si>
  <si>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</si>
  <si>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</si>
  <si>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</si>
  <si>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</si>
  <si>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</si>
  <si>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</si>
  <si>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</si>
  <si>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</si>
  <si>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</si>
  <si>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</si>
  <si>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</si>
  <si>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</si>
  <si>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</si>
  <si>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</si>
  <si>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</si>
  <si>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</si>
  <si>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</si>
  <si>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</si>
  <si>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</si>
  <si>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</si>
  <si>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</si>
  <si>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</si>
  <si>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</si>
  <si>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</si>
  <si>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</si>
  <si>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</si>
  <si>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</si>
  <si>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</si>
  <si>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</si>
  <si>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</si>
  <si>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</si>
  <si>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</si>
  <si>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</si>
  <si>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</si>
  <si>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</si>
  <si>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</si>
  <si>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</si>
  <si>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</si>
  <si>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</si>
  <si>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</si>
  <si>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</si>
  <si>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</si>
  <si>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</si>
  <si>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</si>
  <si>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</si>
  <si>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</si>
  <si>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</si>
  <si>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</si>
  <si>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</si>
  <si>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</si>
  <si>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</si>
  <si>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</si>
  <si>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</si>
  <si>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</si>
  <si>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</si>
  <si>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</si>
  <si>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</si>
  <si>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</si>
  <si>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</si>
  <si>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</si>
  <si>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</si>
  <si>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</si>
  <si>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</si>
  <si>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</si>
  <si>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</si>
  <si>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</si>
  <si>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</si>
  <si>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</si>
  <si>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</si>
  <si>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</si>
  <si>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</si>
  <si>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</si>
  <si>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</si>
  <si>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</si>
  <si>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</si>
  <si>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</si>
  <si>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</si>
  <si>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</si>
  <si>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</si>
  <si>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</si>
  <si>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</si>
  <si>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</si>
  <si>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</si>
  <si>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</si>
  <si>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</si>
  <si>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</si>
  <si>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</si>
  <si>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</si>
  <si>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</si>
  <si>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</si>
  <si>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</si>
  <si>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</si>
  <si>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</si>
  <si>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</si>
  <si>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</si>
  <si>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</si>
  <si>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</si>
  <si>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</si>
  <si>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</si>
  <si>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</si>
  <si>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</si>
  <si>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</si>
  <si>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</si>
  <si>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</si>
  <si>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</si>
  <si>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</si>
  <si>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</si>
  <si>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</si>
  <si>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</si>
  <si>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</si>
  <si>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</si>
  <si>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</si>
  <si>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</si>
  <si>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</si>
  <si>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</si>
  <si>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</si>
  <si>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</si>
  <si>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</si>
  <si>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</si>
  <si>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</si>
  <si>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</si>
  <si>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</si>
  <si>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</si>
  <si>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</si>
  <si>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</si>
  <si>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</si>
  <si>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</si>
  <si>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</si>
  <si>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</si>
  <si>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</si>
  <si>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</si>
  <si>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</si>
  <si>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</si>
  <si>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</si>
  <si>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</si>
  <si>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</si>
  <si>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</si>
  <si>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</si>
  <si>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</si>
  <si>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</si>
  <si>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</si>
  <si>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</si>
  <si>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</si>
  <si>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</si>
  <si>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</si>
  <si>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</si>
  <si>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</si>
  <si>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</si>
  <si>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</si>
  <si>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</si>
  <si>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</si>
  <si>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</si>
  <si>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</si>
  <si>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</si>
  <si>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</si>
  <si>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</si>
  <si>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</si>
  <si>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</si>
  <si>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</si>
  <si>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</si>
  <si>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</si>
  <si>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</si>
  <si>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</si>
  <si>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</si>
  <si>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</si>
  <si>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</si>
  <si>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</si>
  <si>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</si>
  <si>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</si>
  <si>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</si>
  <si>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</si>
  <si>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</si>
  <si>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</si>
  <si>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</si>
  <si>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</si>
  <si>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</si>
  <si>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</si>
  <si>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</si>
  <si>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</si>
  <si>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</si>
  <si>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</si>
  <si>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</si>
  <si>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</si>
  <si>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</si>
  <si>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</si>
  <si>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</si>
  <si>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</si>
  <si>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</si>
  <si>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</si>
  <si>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</si>
  <si>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</si>
  <si>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</si>
  <si>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</si>
  <si>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</si>
  <si>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</si>
  <si>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</si>
  <si>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</si>
  <si>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</si>
  <si>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</si>
  <si>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</si>
  <si>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</si>
  <si>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</si>
  <si>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</si>
  <si>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</si>
  <si>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</si>
  <si>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</si>
  <si>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</si>
  <si>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</si>
  <si>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</si>
  <si>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</si>
  <si>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</si>
  <si>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</si>
  <si>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</si>
  <si>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</si>
  <si>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</si>
  <si>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</si>
  <si>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</si>
  <si>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</si>
  <si>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</si>
  <si>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</si>
  <si>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</si>
  <si>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</si>
  <si>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</si>
  <si>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</si>
  <si>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</si>
  <si>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</si>
  <si>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</si>
  <si>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</si>
  <si>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</si>
  <si>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</si>
  <si>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</si>
  <si>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</si>
  <si>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</si>
  <si>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</si>
  <si>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</si>
  <si>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</si>
  <si>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</si>
  <si>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</si>
  <si>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</si>
  <si>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</si>
  <si>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</si>
  <si>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</si>
  <si>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</si>
  <si>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</si>
  <si>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</si>
  <si>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</si>
  <si>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</si>
  <si>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</si>
  <si>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</si>
  <si>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</si>
  <si>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</si>
  <si>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</si>
  <si>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</si>
  <si>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</si>
  <si>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</si>
  <si>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</si>
  <si>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</si>
  <si>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</si>
  <si>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</si>
  <si>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</si>
  <si>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</si>
  <si>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</si>
  <si>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</si>
  <si>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</si>
  <si>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</si>
  <si>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</si>
  <si>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</si>
  <si>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</si>
  <si>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</si>
  <si>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</si>
  <si>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</si>
  <si>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</si>
  <si>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</si>
  <si>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</si>
  <si>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</si>
  <si>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</si>
  <si>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</si>
  <si>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</si>
  <si>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</si>
  <si>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</si>
  <si>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</si>
  <si>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</si>
  <si>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</si>
  <si>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</si>
  <si>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</si>
  <si>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</si>
  <si>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</si>
  <si>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</si>
  <si>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</si>
  <si>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</si>
  <si>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</si>
  <si>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</si>
  <si>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</si>
  <si>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</si>
  <si>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</si>
  <si>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</si>
  <si>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</si>
  <si>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</si>
  <si>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</si>
  <si>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</si>
  <si>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</si>
  <si>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</si>
  <si>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</si>
  <si>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</si>
  <si>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</si>
  <si>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</si>
  <si>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</si>
  <si>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</si>
  <si>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</si>
  <si>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</si>
  <si>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</si>
  <si>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</si>
  <si>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</si>
  <si>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</si>
  <si>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</si>
  <si>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</si>
  <si>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</si>
  <si>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</si>
  <si>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</si>
  <si>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</si>
  <si>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</si>
  <si>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</si>
  <si>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</si>
  <si>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</si>
  <si>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</si>
  <si>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</si>
  <si>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</si>
  <si>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</si>
  <si>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</si>
  <si>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</si>
  <si>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</si>
  <si>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</si>
  <si>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</si>
  <si>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</si>
  <si>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</si>
  <si>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</si>
  <si>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</si>
  <si>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</si>
  <si>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</si>
  <si>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</si>
  <si>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</si>
  <si>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</si>
  <si>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</si>
  <si>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</si>
  <si>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</si>
  <si>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</si>
  <si>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</si>
  <si>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</si>
  <si>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</si>
  <si>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</si>
  <si>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</si>
  <si>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</si>
  <si>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</si>
  <si>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</si>
  <si>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</si>
  <si>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</si>
  <si>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</si>
  <si>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</si>
  <si>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</si>
  <si>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</si>
  <si>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</si>
  <si>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</si>
  <si>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</si>
  <si>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</si>
  <si>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</si>
  <si>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</si>
  <si>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</si>
  <si>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</si>
  <si>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</si>
  <si>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</si>
  <si>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</si>
  <si>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</si>
  <si>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</si>
  <si>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</si>
  <si>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</si>
  <si>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</si>
  <si>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</si>
  <si>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</si>
  <si>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</si>
  <si>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</si>
  <si>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</si>
  <si>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</si>
  <si>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</si>
  <si>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</si>
  <si>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</si>
  <si>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</si>
  <si>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</si>
  <si>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</si>
  <si>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</si>
  <si>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</si>
  <si>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</si>
  <si>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</si>
  <si>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</si>
  <si>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</si>
  <si>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</si>
  <si>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</si>
  <si>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</si>
  <si>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</si>
  <si>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</si>
  <si>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</si>
  <si>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</si>
  <si>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</si>
  <si>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</si>
  <si>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</si>
  <si>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</si>
  <si>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</si>
  <si>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</si>
  <si>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</si>
  <si>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</si>
  <si>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</si>
  <si>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</si>
  <si>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</si>
  <si>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</si>
  <si>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</si>
  <si>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</si>
  <si>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</si>
  <si>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</si>
  <si>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</si>
  <si>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</si>
  <si>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</si>
  <si>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</si>
  <si>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</si>
  <si>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</si>
  <si>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</si>
  <si>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</si>
  <si>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</si>
  <si>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</si>
  <si>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</si>
  <si>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</si>
  <si>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</si>
  <si>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</si>
  <si>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</si>
  <si>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</si>
  <si>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</si>
  <si>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</si>
  <si>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</si>
  <si>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</si>
  <si>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</si>
  <si>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</si>
  <si>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</si>
  <si>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</si>
  <si>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</si>
  <si>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</si>
  <si>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</si>
  <si>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</si>
  <si>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</si>
  <si>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</si>
  <si>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</si>
  <si>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</si>
  <si>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</si>
  <si>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</si>
  <si>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</si>
  <si>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</si>
  <si>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</si>
  <si>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</si>
  <si>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</si>
  <si>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</si>
  <si>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</si>
  <si>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</si>
  <si>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</si>
  <si>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</si>
  <si>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</si>
  <si>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</si>
  <si>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</si>
  <si>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</si>
  <si>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</si>
  <si>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</si>
  <si>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</si>
  <si>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</si>
  <si>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</si>
  <si>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</si>
  <si>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</si>
  <si>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</si>
  <si>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</si>
  <si>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</si>
  <si>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</si>
  <si>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</si>
  <si>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</si>
  <si>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</si>
  <si>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</si>
  <si>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</si>
  <si>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</si>
  <si>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</si>
  <si>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</si>
  <si>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</si>
  <si>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</si>
  <si>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</si>
  <si>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</si>
  <si>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</si>
  <si>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</si>
  <si>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</si>
  <si>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</si>
  <si>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</si>
  <si>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</si>
  <si>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</si>
  <si>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</si>
  <si>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</si>
  <si>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</si>
  <si>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</si>
  <si>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</si>
  <si>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</si>
  <si>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</si>
  <si>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</si>
  <si>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</si>
  <si>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</si>
  <si>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</si>
  <si>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</si>
  <si>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</si>
  <si>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</si>
  <si>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</si>
  <si>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</si>
  <si>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</si>
  <si>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</si>
  <si>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</si>
  <si>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</si>
  <si>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</si>
  <si>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</si>
  <si>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</si>
  <si>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</si>
  <si>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</si>
  <si>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</si>
  <si>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</si>
  <si>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</si>
  <si>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</si>
  <si>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</si>
  <si>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</si>
  <si>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</si>
  <si>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</si>
  <si>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</si>
  <si>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</si>
  <si>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</si>
  <si>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</si>
  <si>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</si>
  <si>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</si>
  <si>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</si>
  <si>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</si>
  <si>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</si>
  <si>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</si>
  <si>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</si>
  <si>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</si>
  <si>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</si>
  <si>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</si>
  <si>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</si>
  <si>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</si>
  <si>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</si>
  <si>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</si>
  <si>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</si>
  <si>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</si>
  <si>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</si>
  <si>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</si>
  <si>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</si>
  <si>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</si>
  <si>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</si>
  <si>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</si>
  <si>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</si>
  <si>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</si>
  <si>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</si>
  <si>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</si>
  <si>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</si>
  <si>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</si>
  <si>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</si>
  <si>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</si>
  <si>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</si>
  <si>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</si>
  <si>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</si>
  <si>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</si>
  <si>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</si>
  <si>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</si>
  <si>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</si>
  <si>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</si>
  <si>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</si>
  <si>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</si>
  <si>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</si>
  <si>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</si>
  <si>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</si>
  <si>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</si>
  <si>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</si>
  <si>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</si>
  <si>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</si>
  <si>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</si>
  <si>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</si>
  <si>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</si>
  <si>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</si>
  <si>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</si>
  <si>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</si>
  <si>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</si>
  <si>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</si>
  <si>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</si>
  <si>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</si>
  <si>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</si>
  <si>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</si>
  <si>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</si>
  <si>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</si>
  <si>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</si>
  <si>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</si>
  <si>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</si>
  <si>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</si>
  <si>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</si>
  <si>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</si>
  <si>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</si>
  <si>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</si>
  <si>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</si>
  <si>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</si>
  <si>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</si>
  <si>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</si>
  <si>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</si>
  <si>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</si>
  <si>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</si>
  <si>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</si>
  <si>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</si>
  <si>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</si>
  <si>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</si>
  <si>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</si>
  <si>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</si>
  <si>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</si>
  <si>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</si>
  <si>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</si>
  <si>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</si>
  <si>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</si>
  <si>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</si>
  <si>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</si>
  <si>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</si>
  <si>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</si>
  <si>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</si>
  <si>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</si>
  <si>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</si>
  <si>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</si>
  <si>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</si>
  <si>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</si>
  <si>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</si>
  <si>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</si>
  <si>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</si>
  <si>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</si>
  <si>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</si>
  <si>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</si>
  <si>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</si>
  <si>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</si>
  <si>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</si>
  <si>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</si>
  <si>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</si>
  <si>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</si>
  <si>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</si>
  <si>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</si>
  <si>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</si>
  <si>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</si>
  <si>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</si>
  <si>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</si>
  <si>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</si>
  <si>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</si>
  <si>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</si>
  <si>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</si>
  <si>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</si>
  <si>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</si>
  <si>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</si>
  <si>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</si>
  <si>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</si>
  <si>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</si>
  <si>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</si>
  <si>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</si>
  <si>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</si>
  <si>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</si>
  <si>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</si>
  <si>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</si>
  <si>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</si>
  <si>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</si>
  <si>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</si>
  <si>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</si>
  <si>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</si>
  <si>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</si>
  <si>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</si>
  <si>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</si>
  <si>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</si>
  <si>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</si>
  <si>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</si>
  <si>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</si>
  <si>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</si>
  <si>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</si>
  <si>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</si>
  <si>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</si>
  <si>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</si>
  <si>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</si>
  <si>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</si>
  <si>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</si>
  <si>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</si>
  <si>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</si>
  <si>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</si>
  <si>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</si>
  <si>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</si>
  <si>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</si>
  <si>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</si>
  <si>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</si>
  <si>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</si>
  <si>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</si>
  <si>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</si>
  <si>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</si>
  <si>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</si>
  <si>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</si>
  <si>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</si>
  <si>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</si>
  <si>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</si>
  <si>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</si>
  <si>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</si>
  <si>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</si>
  <si>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</si>
  <si>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</si>
  <si>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</si>
  <si>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</si>
  <si>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</si>
  <si>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</si>
  <si>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</si>
  <si>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</si>
  <si>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</si>
  <si>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</si>
  <si>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</si>
  <si>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</si>
  <si>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</si>
  <si>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</si>
  <si>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</si>
  <si>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</si>
  <si>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</si>
  <si>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</si>
  <si>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</si>
  <si>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</si>
  <si>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</si>
  <si>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</si>
  <si>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</si>
  <si>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</si>
  <si>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</si>
  <si>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</si>
  <si>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</si>
  <si>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</si>
  <si>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</si>
  <si>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</si>
  <si>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</si>
  <si>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</si>
  <si>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</si>
  <si>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</si>
  <si>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</si>
  <si>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</si>
  <si>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</si>
  <si>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</si>
  <si>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</si>
  <si>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</si>
  <si>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</si>
  <si>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</si>
  <si>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</si>
  <si>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</si>
  <si>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</si>
  <si>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</si>
  <si>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</si>
  <si>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</si>
  <si>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</si>
  <si>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</si>
  <si>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</si>
  <si>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</si>
  <si>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</si>
  <si>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</si>
  <si>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</si>
  <si>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</si>
  <si>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</si>
  <si>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</si>
  <si>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</si>
  <si>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</si>
  <si>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</si>
  <si>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</si>
  <si>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</si>
  <si>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</si>
  <si>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</si>
  <si>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</si>
  <si>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</si>
  <si>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</si>
  <si>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</si>
  <si>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</si>
  <si>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</si>
  <si>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</si>
  <si>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</si>
  <si>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</si>
  <si>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</si>
  <si>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</si>
  <si>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</si>
  <si>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</si>
  <si>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</si>
  <si>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</si>
  <si>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</si>
  <si>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</si>
  <si>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</si>
  <si>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</si>
  <si>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</si>
  <si>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</si>
  <si>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</si>
  <si>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</si>
  <si>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</si>
  <si>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</si>
  <si>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</si>
  <si>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</si>
  <si>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</si>
  <si>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</si>
  <si>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</si>
  <si>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</si>
  <si>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</si>
  <si>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</si>
  <si>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</si>
  <si>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</si>
  <si>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</si>
  <si>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</si>
  <si>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</si>
  <si>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</si>
  <si>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</si>
  <si>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</si>
  <si>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</si>
  <si>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</si>
  <si>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</si>
  <si>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</si>
  <si>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</si>
  <si>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</si>
  <si>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</si>
  <si>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</si>
  <si>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</si>
  <si>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</si>
  <si>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</si>
  <si>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</si>
  <si>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</si>
  <si>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</si>
  <si>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</si>
  <si>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</si>
  <si>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</si>
  <si>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</si>
  <si>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</si>
  <si>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</si>
  <si>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</si>
  <si>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</si>
  <si>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</si>
  <si>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</si>
  <si>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</si>
  <si>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</si>
  <si>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</si>
  <si>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</si>
  <si>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</si>
  <si>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</si>
  <si>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</si>
  <si>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</si>
  <si>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</si>
  <si>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</si>
  <si>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</si>
  <si>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</si>
  <si>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</si>
  <si>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</si>
  <si>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</si>
  <si>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</si>
  <si>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</si>
  <si>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</si>
  <si>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</si>
  <si>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</si>
  <si>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</si>
  <si>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</si>
  <si>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</si>
  <si>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</si>
  <si>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</si>
  <si>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</si>
  <si>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</si>
  <si>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</si>
  <si>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</si>
  <si>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</si>
  <si>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</si>
  <si>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</si>
  <si>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</si>
  <si>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</si>
  <si>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</si>
  <si>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</si>
  <si>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</si>
  <si>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</si>
  <si>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</si>
  <si>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</si>
  <si>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</si>
  <si>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</si>
  <si>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</si>
  <si>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</si>
  <si>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</si>
  <si>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</si>
  <si>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</si>
  <si>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</si>
  <si>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</si>
  <si>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</si>
  <si>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</si>
  <si>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</si>
  <si>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</si>
  <si>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</si>
  <si>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</si>
  <si>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</si>
  <si>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</si>
  <si>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</si>
  <si>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</si>
  <si>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</si>
  <si>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</si>
  <si>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</si>
  <si>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</si>
  <si>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</si>
  <si>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</si>
  <si>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</si>
  <si>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</si>
  <si>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</si>
  <si>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</si>
  <si>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</si>
  <si>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</si>
  <si>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</si>
  <si>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</si>
  <si>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</si>
  <si>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</si>
  <si>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</si>
  <si>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</si>
  <si>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</si>
  <si>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</si>
  <si>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</si>
  <si>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</si>
  <si>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</si>
  <si>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</si>
  <si>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</si>
  <si>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</si>
  <si>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</si>
  <si>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</si>
  <si>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</si>
  <si>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</si>
  <si>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</si>
  <si>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</si>
  <si>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</si>
  <si>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</si>
  <si>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</si>
  <si>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</si>
  <si>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</si>
  <si>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</si>
  <si>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</si>
  <si>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</si>
  <si>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</si>
  <si>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</si>
  <si>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</si>
  <si>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</si>
  <si>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</si>
  <si>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</si>
  <si>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</si>
  <si>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</si>
  <si>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</si>
  <si>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</si>
  <si>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</si>
  <si>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</si>
  <si>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</si>
  <si>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</si>
  <si>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</si>
  <si>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</si>
  <si>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</si>
  <si>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</si>
  <si>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</si>
  <si>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</si>
  <si>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</si>
  <si>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</si>
  <si>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</si>
  <si>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</si>
  <si>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</si>
  <si>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</si>
  <si>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</si>
  <si>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</si>
  <si>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</si>
  <si>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</si>
  <si>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</si>
  <si>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</si>
  <si>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</si>
  <si>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</si>
  <si>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</si>
  <si>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</si>
  <si>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</si>
  <si>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</si>
  <si>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</si>
  <si>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</si>
  <si>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</si>
  <si>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</si>
  <si>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</si>
  <si>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</si>
  <si>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</si>
  <si>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</si>
  <si>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</si>
  <si>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</si>
  <si>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</si>
  <si>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</si>
  <si>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</si>
  <si>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</si>
  <si>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</si>
  <si>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</si>
  <si>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</si>
  <si>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</si>
  <si>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</si>
  <si>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</si>
  <si>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</si>
  <si>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</si>
  <si>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</si>
  <si>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</si>
  <si>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</si>
  <si>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</si>
  <si>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</si>
  <si>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</si>
  <si>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</si>
  <si>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</si>
  <si>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</si>
  <si>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</si>
  <si>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</si>
  <si>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</si>
  <si>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</si>
  <si>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</si>
  <si>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</si>
  <si>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</si>
  <si>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</si>
  <si>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</si>
  <si>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</si>
  <si>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</si>
  <si>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</si>
  <si>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</si>
  <si>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</si>
  <si>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</si>
  <si>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</si>
  <si>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</si>
  <si>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</si>
  <si>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</si>
  <si>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</si>
  <si>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</si>
  <si>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</si>
  <si>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</si>
  <si>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</si>
  <si>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</si>
  <si>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</si>
  <si>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</si>
  <si>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</si>
  <si>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</si>
  <si>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</si>
  <si>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</si>
  <si>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</si>
  <si>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</si>
  <si>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</si>
  <si>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</si>
  <si>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</si>
  <si>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</si>
  <si>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</si>
  <si>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</si>
  <si>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</si>
  <si>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</si>
  <si>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</si>
  <si>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</si>
  <si>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</si>
  <si>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</si>
  <si>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</si>
  <si>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</si>
  <si>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</si>
  <si>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</si>
  <si>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</si>
  <si>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</si>
  <si>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</si>
  <si>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</si>
  <si>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</si>
  <si>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</si>
  <si>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</si>
  <si>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</si>
  <si>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</si>
  <si>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</si>
  <si>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</si>
  <si>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</si>
  <si>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</si>
  <si>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</si>
  <si>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</si>
  <si>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</si>
  <si>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</si>
  <si>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</si>
  <si>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</si>
  <si>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</si>
  <si>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</si>
  <si>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</si>
  <si>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</si>
  <si>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</si>
  <si>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</si>
  <si>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</si>
  <si>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</si>
  <si>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</si>
  <si>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</si>
  <si>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</si>
  <si>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</si>
  <si>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</si>
  <si>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</si>
  <si>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</si>
  <si>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</si>
  <si>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</si>
  <si>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</si>
  <si>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</si>
  <si>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</si>
  <si>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</si>
  <si>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</si>
  <si>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</si>
  <si>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</si>
  <si>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</si>
  <si>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</si>
  <si>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</si>
  <si>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</si>
  <si>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</si>
  <si>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</si>
  <si>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</si>
  <si>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</si>
  <si>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</si>
  <si>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</si>
  <si>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</si>
  <si>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</si>
  <si>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</si>
  <si>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</si>
  <si>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</si>
  <si>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</si>
  <si>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</si>
  <si>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</si>
  <si>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</si>
  <si>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</si>
  <si>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</si>
  <si>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</si>
  <si>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</si>
  <si>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</si>
  <si>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</si>
  <si>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</si>
  <si>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</si>
  <si>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</si>
  <si>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</si>
  <si>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</si>
  <si>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</si>
  <si>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</si>
  <si>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</si>
  <si>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</si>
  <si>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</si>
  <si>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</si>
  <si>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</si>
  <si>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</si>
  <si>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</si>
  <si>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</si>
  <si>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</si>
  <si>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</si>
  <si>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</si>
  <si>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</si>
  <si>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</si>
  <si>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</si>
  <si>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</si>
  <si>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</si>
  <si>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</si>
  <si>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</si>
  <si>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</si>
  <si>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</si>
  <si>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</si>
  <si>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</si>
  <si>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</si>
  <si>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</si>
  <si>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</si>
  <si>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</si>
  <si>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</si>
  <si>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</si>
  <si>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</si>
  <si>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</si>
  <si>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</si>
  <si>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</si>
  <si>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</si>
  <si>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</si>
  <si>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</si>
  <si>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</si>
  <si>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</si>
  <si>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</si>
  <si>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</si>
  <si>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</si>
  <si>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</si>
  <si>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</si>
  <si>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</si>
  <si>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</si>
  <si>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</si>
  <si>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</si>
  <si>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</si>
  <si>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</si>
  <si>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</si>
  <si>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</si>
  <si>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</si>
  <si>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</si>
  <si>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</si>
  <si>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</si>
  <si>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</si>
  <si>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</si>
  <si>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</si>
  <si>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</si>
  <si>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</si>
  <si>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</si>
  <si>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</si>
  <si>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</si>
  <si>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</si>
  <si>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</si>
  <si>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</si>
  <si>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</si>
  <si>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</si>
  <si>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</si>
  <si>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</si>
  <si>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</si>
  <si>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</si>
  <si>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</si>
  <si>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</si>
  <si>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</si>
  <si>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</si>
  <si>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</si>
  <si>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</si>
  <si>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</si>
  <si>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</si>
  <si>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</si>
  <si>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</si>
  <si>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</si>
  <si>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</si>
  <si>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</si>
  <si>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</si>
  <si>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</si>
  <si>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</si>
  <si>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</si>
  <si>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</si>
  <si>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</si>
  <si>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</si>
  <si>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</si>
  <si>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</si>
  <si>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</si>
  <si>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</si>
  <si>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</si>
  <si>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</si>
  <si>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</si>
  <si>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</si>
  <si>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</si>
  <si>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</si>
  <si>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</si>
  <si>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</si>
  <si>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</si>
  <si>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</si>
  <si>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</si>
  <si>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</si>
  <si>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</si>
  <si>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</si>
  <si>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</si>
  <si>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</si>
  <si>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</si>
  <si>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</si>
  <si>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</si>
  <si>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</si>
  <si>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</si>
  <si>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</si>
  <si>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</si>
  <si>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</si>
  <si>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</si>
  <si>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</si>
  <si>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</si>
  <si>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</si>
  <si>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</si>
  <si>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</si>
  <si>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</si>
  <si>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</si>
  <si>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</si>
  <si>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</si>
  <si>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</si>
  <si>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</si>
  <si>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</si>
  <si>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</si>
  <si>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</si>
  <si>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</si>
  <si>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</si>
  <si>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</si>
  <si>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</si>
  <si>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</si>
  <si>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</si>
  <si>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</si>
  <si>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</si>
  <si>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</si>
  <si>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</si>
  <si>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</si>
  <si>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</si>
  <si>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</si>
  <si>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</si>
  <si>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</si>
  <si>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</si>
  <si>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</si>
  <si>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</si>
  <si>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</si>
  <si>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</si>
  <si>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</si>
  <si>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</si>
  <si>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</si>
  <si>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</si>
  <si>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</si>
  <si>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</si>
  <si>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</si>
  <si>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</si>
  <si>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</si>
  <si>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</si>
  <si>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</si>
  <si>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</si>
  <si>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</si>
  <si>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</si>
  <si>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</si>
  <si>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</si>
  <si>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</si>
  <si>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</si>
  <si>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</si>
  <si>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</si>
  <si>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</si>
  <si>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</si>
  <si>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</si>
  <si>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</si>
  <si>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</si>
  <si>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</si>
  <si>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</si>
  <si>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</si>
  <si>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</si>
  <si>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</si>
  <si>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</si>
  <si>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</si>
  <si>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</si>
  <si>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</si>
  <si>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</si>
  <si>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</si>
  <si>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</si>
  <si>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</si>
  <si>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</si>
  <si>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</si>
  <si>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</si>
  <si>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</si>
  <si>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</si>
  <si>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</si>
  <si>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</si>
  <si>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</si>
  <si>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</si>
  <si>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</si>
  <si>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</si>
  <si>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</si>
  <si>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</si>
  <si>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</si>
  <si>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</si>
  <si>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</si>
  <si>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</si>
  <si>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</si>
  <si>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</si>
  <si>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</si>
  <si>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</si>
  <si>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</si>
  <si>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</si>
  <si>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</si>
  <si>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</si>
  <si>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</si>
  <si>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</si>
  <si>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</si>
  <si>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</si>
  <si>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</si>
  <si>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</si>
  <si>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</si>
  <si>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</si>
  <si>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</si>
  <si>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</si>
  <si>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</si>
  <si>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</si>
  <si>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</si>
  <si>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</si>
  <si>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</si>
  <si>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</si>
  <si>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</si>
  <si>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</si>
  <si>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</si>
  <si>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</si>
  <si>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</si>
  <si>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</si>
  <si>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</si>
  <si>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</si>
  <si>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</si>
  <si>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</si>
  <si>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</si>
  <si>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</si>
  <si>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</si>
  <si>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</si>
  <si>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</si>
  <si>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</si>
  <si>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</si>
  <si>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</si>
  <si>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</si>
  <si>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</si>
  <si>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</si>
  <si>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</si>
  <si>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</si>
  <si>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</si>
  <si>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</si>
  <si>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</si>
  <si>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</si>
  <si>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</si>
  <si>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</si>
  <si>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</si>
  <si>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</si>
  <si>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</si>
  <si>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</si>
  <si>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</si>
  <si>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</si>
  <si>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</si>
  <si>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</si>
  <si>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</si>
  <si>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</si>
  <si>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</si>
  <si>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</si>
  <si>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</si>
  <si>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</si>
  <si>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</si>
  <si>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</si>
  <si>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</si>
  <si>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</si>
  <si>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</si>
  <si>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</si>
  <si>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</si>
  <si>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</si>
  <si>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</si>
  <si>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</si>
  <si>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</si>
  <si>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</si>
  <si>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</si>
  <si>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</si>
  <si>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</si>
  <si>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</si>
  <si>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</si>
  <si>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</si>
  <si>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</si>
  <si>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</si>
  <si>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</si>
  <si>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</si>
  <si>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</si>
  <si>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</si>
  <si>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</si>
  <si>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</si>
  <si>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</si>
  <si>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</si>
  <si>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</si>
  <si>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</si>
  <si>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</si>
  <si>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</si>
  <si>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</si>
  <si>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</si>
  <si>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</si>
  <si>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</si>
  <si>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</si>
  <si>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</si>
  <si>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</si>
  <si>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</si>
  <si>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</si>
  <si>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</si>
  <si>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</si>
  <si>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</si>
  <si>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</si>
  <si>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</si>
  <si>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</si>
  <si>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</si>
  <si>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</si>
  <si>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</si>
  <si>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</si>
  <si>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</si>
  <si>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</si>
  <si>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</si>
  <si>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</si>
  <si>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</si>
  <si>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</si>
  <si>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</si>
  <si>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</si>
  <si>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</si>
  <si>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</si>
  <si>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</si>
  <si>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</si>
  <si>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</si>
  <si>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</si>
  <si>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</si>
  <si>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</si>
  <si>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</si>
  <si>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</si>
  <si>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</si>
  <si>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</si>
  <si>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</si>
  <si>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</si>
  <si>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</si>
  <si>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</si>
  <si>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</si>
  <si>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</si>
  <si>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</si>
  <si>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</si>
  <si>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</si>
  <si>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</si>
  <si>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</si>
  <si>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</si>
  <si>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</si>
  <si>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</si>
  <si>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</si>
  <si>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</si>
  <si>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</si>
  <si>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</si>
  <si>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</si>
  <si>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</si>
  <si>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</si>
  <si>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</si>
  <si>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</si>
  <si>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</si>
  <si>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</si>
  <si>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</si>
  <si>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</si>
  <si>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</si>
  <si>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</si>
  <si>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</si>
  <si>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</si>
  <si>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</si>
  <si>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</si>
  <si>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</si>
  <si>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</si>
  <si>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</si>
  <si>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</si>
  <si>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</si>
  <si>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</si>
  <si>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</si>
  <si>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</si>
  <si>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</si>
  <si>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</si>
  <si>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</si>
  <si>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</si>
  <si>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</si>
  <si>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</si>
  <si>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</si>
  <si>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</si>
  <si>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</si>
  <si>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</si>
  <si>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</si>
  <si>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</si>
  <si>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</si>
  <si>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</si>
  <si>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</si>
  <si>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</si>
  <si>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</si>
  <si>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</si>
  <si>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</si>
  <si>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</si>
  <si>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</si>
  <si>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</si>
  <si>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</si>
  <si>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</si>
  <si>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</si>
  <si>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</si>
  <si>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</si>
  <si>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</si>
  <si>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</si>
  <si>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</si>
  <si>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</si>
  <si>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</si>
  <si>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</si>
  <si>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</si>
  <si>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</si>
  <si>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</si>
  <si>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</si>
  <si>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</si>
  <si>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</si>
  <si>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</si>
  <si>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</si>
  <si>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</si>
  <si>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</si>
  <si>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</si>
  <si>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</si>
  <si>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</si>
  <si>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</si>
  <si>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</si>
  <si>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</si>
  <si>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</si>
  <si>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</si>
  <si>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</si>
  <si>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</si>
  <si>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</si>
  <si>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</si>
  <si>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</si>
  <si>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</si>
  <si>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</si>
  <si>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</si>
  <si>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</si>
  <si>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</si>
  <si>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</si>
  <si>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</si>
  <si>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</si>
  <si>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</si>
  <si>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</si>
  <si>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</si>
  <si>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</si>
  <si>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</si>
  <si>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</si>
  <si>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</si>
  <si>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</si>
  <si>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</si>
  <si>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</si>
  <si>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</si>
  <si>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</si>
  <si>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</si>
  <si>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</si>
  <si>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</si>
  <si>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</si>
  <si>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</si>
  <si>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</si>
  <si>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</si>
  <si>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</si>
  <si>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</si>
  <si>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</si>
  <si>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</si>
  <si>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</si>
  <si>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</si>
  <si>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</si>
  <si>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</si>
  <si>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</si>
  <si>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</si>
  <si>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</si>
  <si>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</si>
  <si>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</si>
  <si>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</si>
  <si>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</si>
  <si>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</si>
  <si>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</si>
  <si>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</si>
  <si>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</si>
  <si>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</si>
  <si>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</si>
  <si>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</si>
  <si>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</si>
  <si>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</si>
  <si>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</si>
  <si>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</si>
  <si>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</si>
  <si>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</si>
  <si>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</si>
  <si>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</si>
  <si>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</si>
  <si>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</si>
  <si>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</si>
  <si>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</si>
  <si>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</si>
  <si>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</si>
  <si>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</si>
  <si>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</si>
  <si>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</si>
  <si>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</si>
  <si>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</si>
  <si>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</si>
  <si>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</si>
  <si>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</si>
  <si>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</si>
  <si>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</si>
  <si>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</si>
  <si>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</si>
  <si>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</si>
  <si>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</si>
  <si>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</si>
  <si>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</si>
  <si>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</si>
  <si>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</si>
  <si>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</si>
  <si>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</si>
  <si>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</si>
  <si>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</si>
  <si>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</si>
  <si>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</si>
  <si>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</si>
  <si>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</si>
  <si>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</si>
  <si>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</si>
  <si>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</si>
  <si>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</si>
  <si>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</si>
  <si>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</si>
  <si>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</si>
  <si>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</si>
  <si>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</si>
  <si>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</si>
  <si>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</si>
  <si>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</si>
  <si>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</si>
  <si>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</si>
  <si>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</si>
  <si>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</si>
  <si>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</si>
  <si>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</si>
  <si>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</si>
  <si>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</si>
  <si>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</si>
  <si>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</si>
  <si>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</si>
  <si>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</si>
  <si>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</si>
  <si>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</si>
  <si>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</si>
  <si>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</si>
  <si>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</si>
  <si>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</si>
  <si>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</si>
  <si>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</si>
  <si>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</si>
  <si>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</si>
  <si>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</si>
  <si>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</si>
  <si>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</si>
  <si>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</si>
  <si>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</si>
  <si>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</si>
  <si>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</si>
  <si>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</si>
  <si>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</si>
  <si>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</si>
  <si>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</si>
  <si>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</si>
  <si>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</si>
  <si>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</si>
  <si>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</si>
  <si>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</si>
  <si>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</si>
  <si>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</si>
  <si>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</si>
  <si>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</si>
  <si>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</si>
  <si>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</si>
  <si>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</si>
  <si>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</si>
  <si>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</si>
  <si>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</si>
  <si>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</si>
  <si>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</si>
  <si>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</si>
  <si>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</si>
  <si>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</si>
  <si>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</si>
  <si>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</si>
  <si>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</si>
  <si>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</si>
  <si>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</si>
  <si>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</si>
  <si>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</si>
  <si>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</si>
  <si>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</si>
  <si>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</si>
  <si>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</si>
  <si>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</si>
  <si>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</si>
  <si>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</si>
  <si>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</si>
  <si>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</si>
  <si>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</si>
  <si>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</si>
  <si>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</si>
  <si>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</si>
  <si>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</si>
  <si>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</si>
  <si>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</si>
  <si>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</si>
  <si>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</si>
  <si>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</si>
  <si>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</si>
  <si>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</si>
  <si>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</si>
  <si>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</si>
  <si>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</si>
  <si>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</si>
  <si>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</si>
  <si>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</si>
  <si>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</si>
  <si>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</si>
  <si>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</si>
  <si>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</si>
  <si>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</si>
  <si>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</si>
  <si>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</si>
  <si>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</si>
  <si>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</si>
  <si>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</si>
  <si>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</si>
  <si>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</si>
  <si>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</si>
  <si>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</si>
  <si>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</si>
  <si>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</si>
  <si>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</si>
  <si>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</si>
  <si>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</si>
  <si>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</si>
  <si>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</si>
  <si>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</si>
  <si>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</si>
  <si>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</si>
  <si>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</si>
  <si>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</si>
  <si>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</si>
  <si>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</si>
  <si>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</si>
  <si>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</si>
  <si>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</si>
  <si>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</si>
  <si>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</si>
  <si>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</si>
  <si>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</si>
  <si>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</si>
  <si>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</si>
  <si>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</si>
  <si>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</si>
  <si>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</si>
  <si>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</si>
  <si>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</si>
  <si>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</si>
  <si>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</si>
  <si>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</si>
  <si>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</si>
  <si>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</si>
  <si>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</si>
  <si>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</si>
  <si>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</si>
  <si>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</si>
  <si>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</si>
  <si>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</si>
  <si>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</si>
  <si>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</si>
  <si>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</si>
  <si>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</si>
  <si>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</si>
  <si>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</si>
  <si>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</si>
  <si>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</si>
  <si>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</si>
  <si>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</si>
  <si>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</si>
  <si>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</si>
  <si>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</si>
  <si>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</si>
  <si>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</si>
  <si>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</si>
  <si>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</si>
  <si>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</si>
  <si>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</si>
  <si>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</si>
  <si>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</si>
  <si>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</si>
  <si>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</si>
  <si>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</si>
  <si>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</si>
  <si>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</si>
  <si>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</si>
  <si>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</si>
  <si>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</si>
  <si>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</si>
  <si>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</si>
  <si>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</si>
  <si>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</si>
  <si>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</si>
  <si>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</si>
  <si>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</si>
  <si>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</si>
  <si>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</si>
  <si>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</si>
  <si>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</si>
  <si>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</si>
  <si>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</si>
  <si>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</si>
  <si>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</si>
  <si>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</si>
  <si>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</si>
  <si>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</si>
  <si>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</si>
  <si>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</si>
  <si>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</si>
  <si>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</si>
  <si>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</si>
  <si>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</si>
  <si>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</si>
  <si>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</si>
  <si>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</si>
  <si>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</si>
  <si>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</si>
  <si>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</si>
  <si>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</si>
  <si>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</si>
  <si>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</si>
  <si>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</si>
  <si>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</si>
  <si>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</si>
  <si>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</si>
  <si>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</si>
  <si>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</si>
  <si>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</si>
  <si>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</si>
  <si>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</si>
  <si>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</si>
  <si>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</si>
  <si>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</si>
  <si>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</si>
  <si>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</si>
  <si>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</si>
  <si>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</si>
  <si>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</si>
  <si>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</si>
  <si>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</si>
  <si>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</si>
  <si>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</si>
  <si>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</si>
  <si>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</si>
  <si>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</si>
  <si>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</si>
  <si>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</si>
  <si>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</si>
  <si>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</si>
  <si>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</si>
  <si>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</si>
  <si>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</si>
  <si>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</si>
  <si>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</si>
  <si>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</si>
  <si>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</si>
  <si>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</si>
  <si>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</si>
  <si>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</si>
  <si>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</si>
  <si>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</si>
  <si>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</si>
  <si>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</si>
  <si>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</si>
  <si>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</si>
  <si>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</si>
  <si>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</si>
  <si>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</si>
  <si>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</si>
  <si>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</si>
  <si>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</si>
  <si>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</si>
  <si>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</si>
  <si>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</si>
  <si>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</si>
  <si>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</si>
  <si>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</si>
  <si>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</si>
  <si>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</si>
  <si>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</si>
  <si>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</si>
  <si>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</si>
  <si>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</si>
  <si>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</si>
  <si>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</si>
  <si>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</si>
  <si>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</si>
  <si>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</si>
  <si>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</si>
  <si>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</si>
  <si>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</si>
  <si>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</si>
  <si>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</si>
  <si>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</si>
  <si>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</si>
  <si>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</si>
  <si>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</si>
  <si>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</si>
  <si>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</si>
  <si>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</si>
  <si>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</si>
  <si>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</si>
  <si>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</si>
  <si>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</si>
  <si>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</si>
  <si>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</si>
  <si>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</si>
  <si>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</si>
  <si>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</si>
  <si>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</si>
  <si>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</si>
  <si>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</si>
  <si>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</si>
  <si>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</si>
  <si>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</si>
  <si>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</si>
  <si>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</si>
  <si>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</si>
  <si>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</si>
  <si>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</si>
  <si>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</si>
  <si>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</si>
  <si>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</si>
  <si>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</si>
  <si>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</si>
  <si>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</si>
  <si>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</si>
  <si>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</si>
  <si>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</si>
  <si>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</si>
  <si>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</si>
  <si>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</si>
  <si>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</si>
  <si>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</si>
  <si>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</si>
  <si>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</si>
  <si>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</si>
  <si>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</si>
  <si>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</si>
  <si>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</si>
  <si>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</si>
  <si>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</si>
  <si>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</si>
  <si>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</si>
  <si>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</si>
  <si>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</si>
  <si>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</si>
  <si>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</si>
  <si>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</si>
  <si>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</si>
  <si>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</si>
  <si>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</si>
  <si>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</si>
  <si>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</si>
  <si>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</si>
  <si>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</si>
  <si>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</si>
  <si>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</si>
  <si>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</si>
  <si>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</si>
  <si>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</si>
  <si>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</si>
  <si>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</si>
  <si>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</si>
  <si>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</si>
  <si>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</si>
  <si>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</si>
  <si>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</si>
  <si>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</si>
  <si>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</si>
  <si>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</si>
  <si>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</si>
  <si>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</si>
  <si>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</si>
  <si>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</si>
  <si>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</si>
  <si>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</si>
  <si>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</si>
  <si>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</si>
  <si>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</si>
  <si>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</si>
  <si>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</si>
  <si>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</si>
  <si>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</si>
  <si>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</si>
  <si>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</si>
  <si>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</si>
  <si>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</si>
  <si>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</si>
  <si>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</si>
  <si>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</si>
  <si>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</si>
  <si>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</si>
  <si>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</si>
  <si>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</si>
  <si>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</si>
  <si>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</si>
  <si>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</si>
  <si>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</si>
  <si>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</si>
  <si>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</si>
  <si>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</si>
  <si>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</si>
  <si>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</si>
  <si>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</si>
  <si>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</si>
  <si>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</si>
  <si>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</si>
  <si>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</si>
  <si>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</si>
  <si>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</si>
  <si>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</si>
  <si>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</si>
  <si>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</si>
  <si>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</si>
  <si>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</si>
  <si>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</si>
  <si>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</si>
  <si>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</si>
  <si>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</si>
  <si>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</si>
  <si>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</si>
  <si>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</si>
  <si>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</si>
  <si>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</si>
  <si>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</si>
  <si>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</si>
  <si>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</si>
  <si>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</si>
  <si>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</si>
  <si>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</si>
  <si>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</si>
  <si>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</si>
  <si>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</si>
  <si>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</si>
  <si>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</si>
  <si>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</si>
  <si>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</si>
  <si>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</si>
  <si>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</si>
  <si>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</si>
  <si>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</si>
  <si>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</si>
  <si>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</si>
  <si>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</si>
  <si>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</si>
  <si>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</si>
  <si>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</si>
  <si>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</si>
  <si>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</si>
  <si>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</si>
  <si>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</si>
  <si>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</si>
  <si>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</si>
  <si>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</si>
  <si>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</si>
  <si>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</si>
  <si>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</si>
  <si>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</si>
  <si>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</si>
  <si>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</si>
  <si>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</si>
  <si>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</si>
  <si>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</si>
  <si>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</si>
  <si>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</si>
  <si>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</si>
  <si>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</si>
  <si>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</si>
  <si>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</si>
  <si>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</si>
  <si>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</si>
  <si>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</si>
  <si>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</si>
  <si>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</si>
  <si>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</si>
  <si>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</si>
  <si>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</si>
  <si>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</si>
  <si>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</si>
  <si>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</si>
  <si>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</si>
  <si>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</si>
  <si>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</si>
  <si>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</si>
  <si>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</si>
  <si>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</si>
  <si>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</si>
  <si>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</si>
  <si>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</si>
  <si>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</si>
  <si>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</si>
  <si>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</si>
  <si>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</si>
  <si>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</si>
  <si>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</si>
  <si>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</si>
  <si>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</si>
  <si>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</si>
  <si>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</si>
  <si>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</si>
  <si>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</si>
  <si>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</si>
  <si>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</si>
  <si>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</si>
  <si>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</si>
  <si>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</si>
  <si>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</si>
  <si>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</si>
  <si>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</si>
  <si>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</si>
  <si>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</si>
  <si>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</si>
  <si>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</si>
  <si>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</si>
  <si>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</si>
  <si>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</si>
  <si>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</si>
  <si>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</si>
  <si>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</si>
  <si>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</si>
  <si>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</si>
  <si>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</si>
  <si>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</si>
  <si>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</si>
  <si>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</si>
  <si>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</si>
  <si>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</si>
  <si>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</si>
  <si>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</si>
  <si>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</si>
  <si>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</si>
  <si>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</si>
  <si>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</si>
  <si>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</si>
  <si>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</si>
  <si>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</si>
  <si>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</si>
  <si>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</si>
  <si>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</si>
  <si>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</si>
  <si>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</si>
  <si>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</si>
  <si>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</si>
  <si>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</si>
  <si>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</si>
  <si>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</si>
  <si>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</si>
  <si>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</si>
  <si>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</si>
  <si>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</si>
  <si>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</si>
  <si>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</si>
  <si>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</si>
  <si>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</si>
  <si>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</si>
  <si>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</si>
  <si>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</si>
  <si>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</si>
  <si>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</si>
  <si>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</si>
  <si>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</si>
  <si>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</si>
  <si>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</si>
  <si>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</si>
  <si>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</si>
  <si>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</si>
  <si>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</si>
  <si>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</si>
  <si>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</si>
  <si>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</si>
  <si>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</si>
  <si>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</si>
  <si>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</si>
  <si>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</si>
  <si>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</si>
  <si>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</si>
  <si>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</si>
  <si>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</si>
  <si>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</si>
  <si>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</si>
  <si>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</si>
  <si>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</si>
  <si>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</si>
  <si>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</si>
  <si>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</si>
  <si>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</si>
  <si>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</si>
  <si>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</si>
  <si>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</si>
  <si>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</si>
  <si>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</si>
  <si>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</si>
  <si>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</si>
  <si>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</si>
  <si>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</si>
  <si>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</si>
  <si>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</si>
  <si>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</si>
  <si>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</si>
  <si>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</si>
  <si>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</si>
  <si>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</si>
  <si>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</si>
  <si>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</si>
  <si>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</si>
  <si>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</si>
  <si>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</si>
  <si>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</si>
  <si>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</si>
  <si>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</si>
  <si>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</si>
  <si>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</si>
  <si>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</si>
  <si>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</si>
  <si>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</si>
  <si>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</si>
  <si>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</si>
  <si>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</si>
  <si>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</si>
  <si>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</si>
  <si>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</si>
  <si>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</si>
  <si>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</si>
  <si>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</si>
  <si>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</si>
  <si>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</si>
  <si>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</si>
  <si>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</si>
  <si>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</si>
  <si>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</si>
  <si>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</si>
  <si>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</si>
  <si>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</si>
  <si>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</si>
  <si>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</si>
  <si>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</si>
  <si>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</si>
  <si>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</si>
  <si>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</si>
  <si>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</si>
  <si>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</si>
  <si>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</si>
  <si>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</si>
  <si>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</si>
  <si>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</si>
  <si>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</si>
  <si>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</si>
  <si>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</si>
  <si>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</si>
  <si>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</si>
  <si>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</si>
  <si>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</si>
  <si>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</si>
  <si>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</si>
  <si>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</si>
  <si>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</si>
  <si>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</si>
  <si>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</si>
  <si>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</si>
  <si>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</si>
  <si>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</si>
  <si>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</si>
  <si>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</si>
  <si>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</si>
  <si>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</si>
  <si>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</si>
  <si>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</si>
  <si>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</si>
  <si>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</si>
  <si>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</si>
  <si>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</si>
  <si>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</si>
  <si>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</si>
  <si>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</si>
  <si>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</si>
  <si>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</si>
  <si>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</si>
  <si>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</si>
  <si>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</si>
  <si>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</si>
  <si>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</si>
  <si>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</si>
  <si>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</si>
  <si>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</si>
  <si>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</si>
  <si>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</si>
  <si>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</si>
  <si>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</si>
  <si>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</si>
  <si>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</si>
  <si>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</si>
  <si>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</si>
  <si>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</si>
  <si>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</si>
  <si>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</si>
  <si>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</si>
  <si>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</si>
  <si>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</si>
  <si>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</si>
  <si>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</si>
  <si>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</si>
  <si>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</si>
  <si>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</si>
  <si>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</si>
  <si>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</si>
  <si>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</si>
  <si>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</si>
  <si>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</si>
  <si>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</si>
  <si>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</si>
  <si>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</si>
  <si>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</si>
  <si>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</si>
  <si>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</si>
  <si>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</si>
  <si>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</si>
  <si>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</si>
  <si>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</si>
  <si>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</si>
  <si>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</si>
  <si>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</si>
  <si>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</si>
  <si>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</si>
  <si>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</si>
  <si>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</si>
  <si>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</si>
  <si>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</si>
  <si>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</si>
  <si>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</si>
  <si>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</si>
  <si>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</si>
  <si>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</si>
  <si>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</si>
  <si>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</si>
  <si>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</si>
  <si>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</si>
  <si>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</si>
  <si>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</si>
  <si>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</si>
  <si>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</si>
  <si>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</si>
  <si>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</si>
  <si>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</si>
  <si>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</si>
  <si>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</si>
  <si>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</si>
  <si>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</si>
  <si>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</si>
  <si>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</si>
  <si>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</si>
  <si>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</si>
  <si>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</si>
  <si>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</si>
  <si>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</si>
  <si>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</si>
  <si>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</si>
  <si>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</si>
  <si>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</si>
  <si>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</si>
  <si>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</si>
  <si>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</si>
  <si>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</si>
  <si>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</si>
  <si>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</si>
  <si>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</si>
  <si>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</si>
  <si>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</si>
  <si>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</si>
  <si>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</si>
  <si>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</si>
  <si>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</si>
  <si>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</si>
  <si>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</si>
  <si>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</si>
  <si>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</si>
  <si>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</si>
  <si>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</si>
  <si>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</si>
  <si>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</si>
  <si>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</si>
  <si>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</si>
  <si>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</si>
  <si>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</si>
  <si>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</si>
  <si>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</si>
  <si>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</si>
  <si>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</si>
  <si>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</si>
  <si>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</si>
  <si>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</si>
  <si>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</si>
  <si>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</si>
  <si>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</si>
  <si>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</si>
  <si>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</si>
  <si>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</si>
  <si>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</si>
  <si>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</si>
  <si>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</si>
  <si>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</si>
  <si>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</si>
  <si>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</si>
  <si>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</si>
  <si>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</si>
  <si>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</si>
  <si>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</si>
  <si>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</si>
  <si>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</si>
  <si>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</si>
  <si>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</si>
  <si>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</si>
  <si>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</si>
  <si>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</si>
  <si>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</si>
  <si>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</si>
  <si>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</si>
  <si>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</si>
  <si>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</si>
  <si>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</si>
  <si>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</si>
  <si>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</si>
  <si>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</si>
  <si>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</si>
  <si>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</si>
  <si>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</si>
  <si>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</si>
  <si>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</si>
  <si>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</si>
  <si>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</si>
  <si>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</si>
  <si>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</si>
  <si>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</si>
  <si>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</si>
  <si>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</si>
  <si>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</si>
  <si>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</si>
  <si>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</si>
  <si>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</si>
  <si>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</si>
  <si>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</si>
  <si>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</si>
  <si>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</si>
  <si>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</si>
  <si>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</si>
  <si>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</si>
  <si>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</si>
  <si>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</si>
  <si>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</si>
  <si>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</si>
  <si>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</si>
  <si>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</si>
  <si>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</si>
  <si>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</si>
  <si>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</si>
  <si>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</si>
  <si>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</si>
  <si>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</si>
  <si>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</si>
  <si>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</si>
  <si>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</si>
  <si>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</si>
  <si>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</si>
  <si>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</si>
  <si>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</si>
  <si>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</si>
  <si>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</si>
  <si>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</si>
  <si>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</si>
  <si>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</si>
  <si>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</si>
  <si>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</si>
  <si>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</si>
  <si>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</si>
  <si>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</si>
  <si>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</si>
  <si>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</si>
  <si>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</si>
  <si>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</si>
  <si>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</si>
  <si>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</si>
  <si>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</si>
  <si>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</si>
  <si>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</si>
  <si>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</si>
  <si>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</si>
  <si>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</si>
  <si>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</si>
  <si>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</si>
  <si>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</si>
  <si>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</si>
  <si>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</si>
  <si>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</si>
  <si>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</si>
  <si>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</si>
  <si>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</si>
  <si>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</si>
  <si>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</si>
  <si>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</si>
  <si>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</si>
  <si>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</si>
  <si>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</si>
  <si>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</si>
  <si>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</si>
  <si>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</si>
  <si>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</si>
  <si>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</si>
  <si>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</si>
  <si>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</si>
  <si>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</si>
  <si>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</si>
  <si>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</si>
  <si>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</si>
  <si>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</si>
  <si>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</si>
  <si>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</si>
  <si>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</si>
  <si>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</si>
  <si>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</si>
  <si>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</si>
  <si>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</si>
  <si>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</si>
  <si>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</si>
  <si>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</si>
  <si>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</si>
  <si>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</si>
  <si>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</si>
  <si>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</si>
  <si>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</si>
  <si>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</si>
  <si>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</si>
  <si>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</si>
  <si>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</si>
  <si>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</si>
  <si>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</si>
  <si>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</si>
  <si>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</si>
  <si>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</si>
  <si>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</si>
  <si>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</si>
  <si>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</si>
  <si>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</si>
  <si>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</si>
  <si>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</si>
  <si>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</si>
  <si>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</si>
  <si>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</si>
  <si>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</si>
  <si>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</si>
  <si>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</si>
  <si>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</si>
  <si>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</si>
  <si>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</si>
  <si>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</si>
  <si>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</si>
  <si>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</si>
  <si>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</si>
  <si>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</si>
  <si>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</si>
  <si>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</si>
  <si>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</si>
  <si>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</si>
  <si>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</si>
  <si>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</si>
  <si>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</si>
  <si>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</si>
  <si>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</si>
  <si>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</si>
  <si>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</si>
  <si>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</si>
  <si>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</si>
  <si>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</si>
  <si>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</si>
  <si>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</si>
  <si>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</si>
  <si>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</si>
  <si>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</si>
  <si>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</si>
  <si>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</si>
  <si>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</si>
  <si>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</si>
  <si>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</si>
  <si>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</si>
  <si>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</si>
  <si>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</si>
  <si>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</si>
  <si>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</si>
  <si>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</si>
  <si>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</si>
  <si>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</si>
  <si>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</si>
  <si>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</si>
  <si>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</si>
  <si>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</si>
  <si>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</si>
  <si>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</si>
  <si>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</si>
  <si>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</si>
  <si>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</si>
  <si>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</si>
  <si>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</si>
  <si>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</si>
  <si>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</si>
  <si>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</si>
  <si>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</si>
  <si>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</si>
  <si>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</si>
  <si>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</si>
  <si>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</si>
  <si>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</si>
  <si>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</si>
  <si>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</si>
  <si>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</si>
  <si>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</si>
  <si>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</si>
  <si>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</si>
  <si>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</si>
  <si>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</si>
  <si>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</si>
  <si>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</si>
  <si>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</si>
  <si>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</si>
  <si>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</si>
  <si>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</si>
  <si>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</si>
  <si>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</si>
  <si>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</si>
  <si>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</si>
  <si>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</si>
  <si>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</si>
  <si>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</si>
  <si>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</si>
  <si>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</si>
  <si>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</si>
  <si>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</si>
  <si>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</si>
  <si>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</si>
  <si>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</si>
  <si>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</si>
  <si>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</si>
  <si>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</si>
  <si>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</si>
  <si>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</si>
  <si>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</si>
  <si>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</si>
  <si>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</si>
  <si>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</si>
  <si>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</si>
  <si>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</si>
  <si>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</si>
  <si>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</si>
  <si>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</si>
  <si>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</si>
  <si>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</si>
  <si>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</si>
  <si>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</si>
  <si>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</si>
  <si>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</si>
  <si>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</si>
  <si>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</si>
  <si>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</si>
  <si>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</si>
  <si>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</si>
  <si>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</si>
  <si>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</si>
  <si>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</si>
  <si>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</si>
  <si>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</si>
  <si>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</si>
  <si>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</si>
  <si>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</si>
  <si>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</si>
  <si>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</si>
  <si>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</si>
  <si>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</si>
  <si>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</si>
  <si>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</si>
  <si>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</si>
  <si>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</si>
  <si>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</si>
  <si>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</si>
  <si>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</si>
  <si>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</si>
  <si>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</si>
  <si>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</si>
  <si>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</si>
  <si>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</si>
  <si>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</si>
  <si>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</si>
  <si>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</si>
  <si>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</si>
  <si>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</si>
  <si>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</si>
  <si>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</si>
  <si>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</si>
  <si>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</si>
  <si>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</si>
  <si>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</si>
  <si>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</si>
  <si>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</si>
  <si>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</si>
  <si>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</si>
  <si>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</si>
  <si>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</si>
  <si>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</si>
  <si>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</si>
  <si>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</si>
  <si>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</si>
  <si>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</si>
  <si>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</si>
  <si>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</si>
  <si>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</si>
  <si>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</si>
  <si>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</si>
  <si>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</si>
  <si>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</si>
  <si>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</si>
  <si>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</si>
  <si>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</si>
  <si>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</si>
  <si>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</si>
  <si>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</si>
  <si>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</si>
  <si>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</si>
  <si>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</si>
  <si>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</si>
  <si>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</si>
  <si>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</si>
  <si>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</si>
  <si>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</si>
  <si>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</si>
  <si>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</si>
  <si>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</si>
  <si>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</si>
  <si>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</si>
  <si>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</si>
  <si>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</si>
  <si>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</si>
  <si>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</si>
  <si>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</si>
  <si>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</si>
  <si>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</si>
  <si>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</si>
  <si>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</si>
  <si>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</si>
  <si>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</si>
  <si>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</si>
  <si>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</si>
  <si>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</si>
  <si>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</si>
  <si>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</si>
  <si>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</si>
  <si>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</si>
  <si>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</si>
  <si>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</si>
  <si>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</si>
  <si>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</si>
  <si>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</si>
  <si>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</si>
  <si>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</si>
  <si>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</si>
  <si>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</si>
  <si>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</si>
  <si>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</si>
  <si>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</si>
  <si>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</si>
  <si>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</si>
  <si>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</si>
  <si>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</si>
  <si>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</si>
  <si>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</si>
  <si>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</si>
  <si>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</si>
  <si>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</si>
  <si>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</si>
  <si>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</si>
  <si>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</si>
  <si>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</si>
  <si>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</si>
  <si>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</si>
  <si>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</si>
  <si>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</si>
  <si>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</si>
  <si>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</si>
  <si>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</si>
  <si>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</si>
  <si>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</si>
  <si>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</si>
  <si>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</si>
  <si>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</si>
  <si>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</si>
  <si>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</si>
  <si>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</si>
  <si>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</si>
  <si>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</si>
  <si>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</si>
  <si>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</si>
  <si>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</si>
  <si>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</si>
  <si>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</si>
  <si>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</si>
  <si>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</si>
  <si>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</si>
  <si>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</si>
  <si>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</si>
  <si>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</si>
  <si>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</si>
  <si>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</si>
  <si>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</si>
  <si>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</si>
  <si>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</si>
  <si>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</si>
  <si>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</si>
  <si>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</si>
  <si>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</si>
  <si>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</si>
  <si>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</si>
  <si>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</si>
  <si>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</si>
  <si>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</si>
  <si>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</si>
  <si>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</si>
  <si>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</si>
  <si>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</si>
  <si>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</si>
  <si>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</si>
  <si>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</si>
  <si>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</si>
  <si>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</si>
  <si>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</si>
  <si>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</si>
  <si>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</si>
  <si>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</si>
  <si>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</si>
  <si>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</si>
  <si>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</si>
  <si>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</si>
  <si>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</si>
  <si>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</si>
  <si>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</si>
  <si>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</si>
  <si>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</si>
  <si>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</si>
  <si>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</si>
  <si>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</si>
  <si>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</si>
  <si>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</si>
  <si>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</si>
  <si>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</si>
  <si>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</si>
  <si>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</si>
  <si>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</si>
  <si>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</si>
  <si>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</si>
  <si>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</si>
  <si>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</si>
  <si>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</si>
  <si>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</si>
  <si>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</si>
  <si>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</si>
  <si>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</si>
  <si>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</si>
  <si>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</si>
  <si>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</si>
  <si>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</si>
  <si>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</si>
  <si>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</si>
  <si>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</si>
  <si>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</si>
  <si>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</si>
  <si>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</si>
  <si>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</si>
  <si>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</si>
  <si>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</si>
  <si>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</si>
  <si>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</si>
  <si>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</si>
  <si>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</si>
  <si>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</si>
  <si>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</si>
  <si>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</si>
  <si>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</si>
  <si>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</si>
  <si>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</si>
  <si>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</si>
  <si>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</si>
  <si>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</si>
  <si>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</si>
  <si>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</si>
  <si>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</si>
  <si>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</si>
  <si>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</si>
  <si>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</si>
  <si>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</si>
  <si>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</si>
  <si>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</si>
  <si>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</si>
  <si>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</si>
  <si>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</si>
  <si>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</si>
  <si>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</si>
  <si>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</si>
  <si>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</si>
  <si>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</si>
  <si>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</si>
  <si>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</si>
  <si>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</si>
  <si>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</si>
  <si>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</si>
  <si>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</si>
  <si>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</si>
  <si>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</si>
  <si>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</si>
  <si>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</si>
  <si>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</si>
  <si>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</si>
  <si>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</si>
  <si>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</si>
  <si>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</si>
  <si>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</si>
  <si>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</si>
  <si>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</si>
  <si>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</si>
  <si>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</si>
  <si>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</si>
  <si>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</si>
  <si>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</si>
  <si>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</si>
  <si>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</si>
  <si>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</si>
  <si>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</si>
  <si>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</si>
  <si>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</si>
  <si>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</si>
  <si>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</si>
  <si>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</si>
  <si>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</si>
  <si>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</si>
  <si>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</si>
  <si>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</si>
  <si>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</si>
  <si>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</si>
  <si>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</si>
  <si>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</si>
  <si>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</si>
  <si>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</si>
  <si>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</si>
  <si>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</si>
  <si>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</si>
  <si>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</si>
  <si>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</si>
  <si>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</si>
  <si>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</si>
  <si>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</si>
  <si>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</si>
  <si>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</si>
  <si>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</si>
  <si>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</si>
  <si>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</si>
  <si>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</si>
  <si>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</si>
  <si>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</si>
  <si>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</si>
  <si>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</si>
  <si>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</si>
  <si>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</si>
  <si>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</si>
  <si>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</si>
  <si>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</si>
  <si>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</si>
  <si>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</si>
  <si>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</si>
  <si>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</si>
  <si>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</si>
  <si>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</si>
  <si>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</si>
  <si>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</si>
  <si>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</si>
  <si>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</si>
  <si>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</si>
  <si>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</si>
  <si>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</si>
  <si>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</si>
  <si>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</si>
  <si>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</si>
  <si>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</si>
  <si>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</si>
  <si>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</si>
  <si>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</si>
  <si>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</si>
  <si>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</si>
  <si>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</si>
  <si>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</si>
  <si>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</si>
  <si>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</si>
  <si>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</si>
  <si>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</si>
  <si>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</si>
  <si>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</si>
  <si>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</si>
  <si>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</si>
  <si>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</si>
  <si>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</si>
  <si>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</si>
  <si>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</si>
  <si>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</si>
  <si>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</si>
  <si>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</si>
  <si>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</si>
  <si>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</si>
  <si>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</si>
  <si>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</si>
  <si>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</si>
  <si>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</si>
  <si>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</si>
  <si>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</si>
  <si>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</si>
  <si>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</si>
  <si>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</si>
  <si>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</si>
  <si>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</si>
  <si>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</si>
  <si>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</si>
  <si>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</si>
  <si>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</si>
  <si>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</si>
  <si>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</si>
  <si>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</si>
  <si>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</si>
  <si>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</si>
  <si>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</si>
  <si>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</si>
  <si>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</si>
  <si>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</si>
  <si>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</si>
  <si>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</si>
  <si>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</si>
  <si>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</si>
  <si>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</si>
  <si>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</si>
  <si>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</si>
  <si>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</si>
  <si>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</si>
  <si>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</si>
  <si>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</si>
  <si>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</si>
  <si>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</si>
  <si>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</si>
  <si>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</si>
  <si>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</si>
  <si>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</si>
  <si>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</si>
  <si>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</si>
  <si>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</si>
  <si>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</si>
  <si>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</si>
  <si>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</si>
  <si>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</si>
  <si>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</si>
  <si>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</si>
  <si>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</si>
  <si>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</si>
  <si>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</si>
  <si>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</si>
  <si>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</si>
  <si>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</si>
  <si>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</si>
  <si>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</si>
  <si>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</si>
  <si>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</si>
  <si>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</si>
  <si>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</si>
  <si>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</si>
  <si>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</si>
  <si>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</si>
  <si>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</si>
  <si>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</si>
  <si>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</si>
  <si>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</si>
  <si>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</si>
  <si>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</si>
  <si>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</si>
  <si>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</si>
  <si>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</si>
  <si>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</si>
  <si>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</si>
  <si>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</si>
  <si>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</si>
  <si>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</si>
  <si>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</si>
  <si>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</si>
  <si>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</si>
  <si>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</si>
  <si>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</si>
  <si>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</si>
  <si>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</si>
  <si>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</si>
  <si>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</si>
  <si>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</si>
  <si>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</si>
  <si>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</si>
  <si>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</si>
  <si>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</si>
  <si>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</si>
  <si>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</si>
  <si>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</si>
  <si>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</si>
  <si>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</si>
  <si>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</si>
  <si>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</si>
  <si>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</si>
  <si>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</si>
  <si>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</si>
  <si>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</si>
  <si>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</si>
  <si>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</si>
  <si>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</si>
  <si>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</si>
  <si>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</si>
  <si>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</si>
  <si>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</si>
  <si>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</si>
  <si>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</si>
  <si>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</si>
  <si>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</si>
  <si>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</si>
  <si>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</si>
  <si>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</si>
  <si>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</si>
  <si>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</si>
  <si>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</si>
  <si>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</si>
  <si>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</si>
  <si>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</si>
  <si>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</si>
  <si>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</si>
  <si>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</si>
  <si>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</si>
  <si>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</si>
  <si>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</si>
  <si>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</si>
  <si>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</si>
  <si>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</si>
  <si>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</si>
  <si>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</si>
  <si>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</si>
  <si>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</si>
  <si>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</si>
  <si>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</si>
  <si>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</si>
  <si>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</si>
  <si>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</si>
  <si>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</si>
  <si>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</si>
  <si>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</si>
  <si>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</si>
  <si>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</si>
  <si>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</si>
  <si>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</si>
  <si>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</si>
  <si>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</si>
  <si>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</si>
  <si>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</si>
  <si>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</si>
  <si>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</si>
  <si>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</si>
  <si>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</si>
  <si>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</si>
  <si>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</si>
  <si>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</si>
  <si>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</si>
  <si>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</si>
  <si>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</si>
  <si>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</si>
  <si>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</si>
  <si>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</si>
  <si>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</si>
  <si>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</si>
  <si>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</si>
  <si>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</si>
  <si>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</si>
  <si>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</si>
  <si>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</si>
  <si>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</si>
  <si>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</si>
  <si>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</si>
  <si>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</si>
  <si>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</si>
  <si>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</si>
  <si>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</si>
  <si>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</si>
  <si>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</si>
  <si>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</si>
  <si>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</si>
  <si>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</si>
  <si>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</si>
  <si>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</si>
  <si>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</si>
  <si>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</si>
  <si>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</si>
  <si>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</si>
  <si>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</si>
  <si>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</si>
  <si>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</si>
  <si>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</si>
  <si>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</si>
  <si>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</si>
  <si>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</si>
  <si>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</si>
  <si>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</si>
  <si>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</si>
  <si>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</si>
  <si>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</si>
  <si>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</si>
  <si>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</si>
  <si>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</si>
  <si>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</si>
  <si>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</si>
  <si>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</si>
  <si>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</si>
  <si>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</si>
  <si>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</si>
  <si>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</si>
  <si>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</si>
  <si>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</si>
  <si>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</si>
  <si>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</si>
  <si>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</si>
  <si>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</si>
  <si>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</si>
  <si>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</si>
  <si>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</si>
  <si>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</si>
  <si>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</si>
  <si>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</si>
  <si>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</si>
  <si>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</si>
  <si>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</si>
  <si>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</si>
  <si>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</si>
  <si>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</si>
  <si>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</si>
  <si>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</si>
  <si>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</si>
  <si>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</si>
  <si>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</si>
  <si>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</si>
  <si>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</si>
  <si>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</si>
  <si>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</si>
  <si>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</si>
  <si>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</si>
  <si>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</si>
  <si>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</si>
  <si>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</si>
  <si>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</si>
  <si>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</si>
  <si>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</si>
  <si>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</si>
  <si>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</si>
  <si>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</si>
  <si>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</si>
  <si>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</si>
  <si>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</si>
  <si>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</si>
  <si>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</si>
  <si>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</si>
  <si>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</si>
  <si>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</si>
  <si>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</si>
  <si>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</si>
  <si>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</si>
  <si>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</si>
  <si>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</si>
  <si>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</si>
  <si>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</si>
  <si>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</si>
  <si>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</si>
  <si>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</si>
  <si>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</si>
  <si>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</si>
  <si>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</si>
  <si>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</si>
  <si>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</si>
  <si>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</si>
  <si>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</si>
  <si>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</si>
  <si>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</si>
  <si>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</si>
  <si>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</si>
  <si>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</si>
  <si>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</si>
  <si>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</si>
  <si>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</si>
  <si>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</si>
  <si>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</si>
  <si>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</si>
  <si>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</si>
  <si>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</si>
  <si>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</si>
  <si>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</si>
  <si>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</si>
  <si>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</si>
  <si>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</si>
  <si>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</si>
  <si>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</si>
  <si>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</si>
  <si>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</si>
  <si>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</si>
  <si>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</si>
  <si>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</si>
  <si>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</si>
  <si>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</si>
  <si>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</si>
  <si>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</si>
  <si>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</si>
  <si>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</si>
  <si>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</si>
  <si>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</si>
  <si>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</si>
  <si>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</si>
  <si>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</si>
  <si>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</si>
  <si>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</si>
  <si>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</si>
  <si>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</si>
  <si>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</si>
  <si>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</si>
  <si>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</si>
  <si>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</si>
  <si>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</si>
  <si>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</si>
  <si>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</si>
  <si>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</si>
  <si>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</si>
  <si>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</si>
  <si>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</si>
  <si>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</si>
  <si>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</si>
  <si>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</si>
  <si>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</si>
  <si>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</si>
  <si>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</si>
  <si>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</si>
  <si>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</si>
  <si>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</si>
  <si>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</si>
  <si>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</si>
  <si>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</si>
  <si>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</si>
  <si>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</si>
  <si>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</si>
  <si>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</si>
  <si>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</si>
  <si>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</si>
  <si>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</si>
  <si>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</si>
  <si>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</si>
  <si>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</si>
  <si>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</si>
  <si>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</si>
  <si>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</si>
  <si>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</si>
  <si>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</si>
  <si>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</si>
  <si>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</si>
  <si>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</si>
  <si>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</si>
  <si>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</si>
  <si>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</si>
  <si>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</si>
  <si>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</si>
  <si>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</si>
  <si>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</si>
  <si>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</si>
  <si>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</si>
  <si>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</si>
  <si>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</si>
  <si>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</si>
  <si>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</si>
  <si>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</si>
  <si>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</si>
  <si>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</si>
  <si>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</si>
  <si>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</si>
  <si>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</si>
  <si>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</si>
  <si>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</si>
  <si>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</si>
  <si>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</si>
  <si>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</si>
  <si>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</si>
  <si>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</si>
  <si>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</si>
  <si>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</si>
  <si>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</si>
  <si>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</si>
  <si>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</si>
  <si>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</si>
  <si>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</si>
  <si>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</si>
  <si>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</si>
  <si>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</si>
  <si>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</si>
  <si>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</si>
  <si>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</si>
  <si>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</si>
  <si>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</si>
  <si>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</si>
  <si>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</si>
  <si>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</si>
  <si>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</si>
  <si>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</si>
  <si>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</si>
  <si>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</si>
  <si>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</si>
  <si>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</si>
  <si>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</si>
  <si>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</si>
  <si>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</si>
  <si>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</si>
  <si>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</si>
  <si>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</si>
  <si>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</si>
  <si>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</si>
  <si>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</si>
  <si>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</si>
  <si>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</si>
  <si>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</si>
  <si>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</si>
  <si>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</si>
  <si>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</si>
  <si>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</si>
  <si>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</si>
  <si>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</si>
  <si>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</si>
  <si>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</si>
  <si>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</si>
  <si>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</si>
  <si>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</si>
  <si>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</si>
  <si>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</si>
  <si>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</si>
  <si>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</si>
  <si>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</si>
  <si>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</si>
  <si>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</si>
  <si>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</si>
  <si>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</si>
  <si>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</si>
  <si>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</si>
  <si>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</si>
  <si>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</si>
  <si>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</si>
  <si>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</si>
  <si>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</si>
  <si>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</si>
  <si>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</si>
  <si>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</si>
  <si>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</si>
  <si>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</si>
  <si>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</si>
  <si>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</si>
  <si>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</si>
  <si>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</si>
  <si>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</si>
  <si>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</si>
  <si>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</si>
  <si>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</si>
  <si>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</si>
  <si>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</si>
  <si>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</si>
  <si>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</si>
  <si>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</si>
  <si>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</si>
  <si>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</si>
  <si>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</si>
  <si>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</si>
  <si>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</si>
  <si>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</si>
  <si>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</si>
  <si>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</si>
  <si>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</si>
  <si>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</si>
  <si>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</si>
  <si>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</si>
  <si>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</si>
  <si>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</si>
  <si>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</si>
  <si>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</si>
  <si>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</si>
  <si>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</si>
  <si>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</si>
  <si>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</si>
  <si>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</si>
  <si>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</si>
  <si>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</si>
  <si>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</si>
  <si>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</si>
  <si>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</si>
  <si>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</si>
  <si>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</si>
  <si>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</si>
  <si>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</si>
  <si>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</si>
  <si>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</si>
  <si>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</si>
  <si>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</si>
  <si>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</si>
  <si>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</si>
  <si>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</si>
  <si>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</si>
  <si>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</si>
  <si>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</si>
  <si>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</si>
  <si>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</si>
  <si>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</si>
  <si>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</si>
  <si>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</si>
  <si>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</si>
  <si>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</si>
  <si>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</si>
  <si>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</si>
  <si>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</si>
  <si>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</si>
  <si>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</si>
  <si>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</si>
  <si>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</si>
  <si>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</si>
  <si>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</si>
  <si>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</si>
  <si>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</si>
  <si>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</si>
  <si>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</si>
  <si>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</si>
  <si>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</si>
  <si>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</si>
  <si>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</si>
  <si>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</si>
  <si>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</si>
  <si>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</si>
  <si>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</si>
  <si>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</si>
  <si>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</si>
  <si>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</si>
  <si>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</si>
  <si>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</si>
  <si>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</si>
  <si>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</si>
  <si>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</si>
  <si>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</si>
  <si>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</si>
  <si>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</si>
  <si>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</si>
  <si>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</si>
  <si>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</si>
  <si>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</si>
  <si>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</si>
  <si>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</si>
  <si>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</si>
  <si>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</si>
  <si>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</si>
  <si>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</si>
  <si>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</si>
  <si>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</si>
  <si>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</si>
  <si>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</si>
  <si>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</si>
  <si>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</si>
  <si>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</si>
  <si>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</si>
  <si>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</si>
  <si>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</si>
  <si>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</si>
  <si>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</si>
  <si>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</si>
  <si>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</si>
  <si>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</si>
  <si>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</si>
  <si>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</si>
  <si>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</si>
  <si>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</si>
  <si>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</si>
  <si>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</si>
  <si>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</si>
  <si>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</si>
  <si>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</si>
  <si>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</si>
  <si>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</si>
  <si>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</si>
  <si>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</si>
  <si>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</si>
  <si>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</si>
  <si>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</si>
  <si>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</si>
  <si>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</si>
  <si>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</si>
  <si>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</si>
  <si>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</si>
  <si>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</si>
  <si>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</si>
  <si>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</si>
  <si>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</si>
  <si>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</si>
  <si>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</si>
  <si>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</si>
  <si>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</si>
  <si>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</si>
  <si>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</si>
  <si>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</si>
  <si>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</si>
  <si>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</si>
  <si>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</si>
  <si>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</si>
  <si>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</si>
  <si>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</si>
  <si>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</si>
  <si>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</si>
  <si>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</si>
  <si>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</si>
  <si>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</si>
  <si>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</si>
  <si>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</si>
  <si>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</si>
  <si>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</si>
  <si>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</si>
  <si>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</si>
  <si>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</si>
  <si>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</si>
  <si>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</si>
  <si>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</si>
  <si>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</si>
  <si>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</si>
  <si>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</si>
  <si>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</si>
  <si>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</si>
  <si>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</si>
  <si>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</si>
  <si>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</si>
  <si>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</si>
  <si>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</si>
  <si>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</si>
  <si>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</si>
  <si>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</si>
  <si>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</si>
  <si>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</si>
  <si>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</si>
  <si>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</si>
  <si>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</si>
  <si>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</si>
  <si>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</si>
  <si>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</si>
  <si>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</si>
  <si>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</si>
  <si>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</si>
  <si>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</si>
  <si>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</si>
  <si>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</si>
  <si>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</si>
  <si>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</si>
  <si>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</si>
  <si>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</si>
  <si>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</si>
  <si>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</si>
  <si>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</si>
  <si>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</si>
  <si>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</si>
  <si>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</si>
  <si>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</si>
  <si>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</si>
  <si>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</si>
  <si>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</si>
  <si>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</si>
  <si>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</si>
  <si>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</si>
  <si>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</si>
  <si>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</si>
  <si>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</si>
  <si>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</si>
  <si>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</si>
  <si>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</si>
  <si>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</si>
  <si>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</si>
  <si>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</si>
  <si>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</si>
  <si>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</si>
  <si>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</si>
  <si>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</si>
  <si>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</si>
  <si>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</si>
  <si>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</si>
  <si>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</si>
  <si>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</si>
  <si>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</si>
  <si>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</si>
  <si>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</si>
  <si>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</si>
  <si>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</si>
  <si>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</si>
  <si>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</si>
  <si>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</si>
  <si>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</si>
  <si>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</si>
  <si>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</si>
  <si>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</si>
  <si>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</si>
  <si>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</si>
  <si>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</si>
  <si>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</si>
  <si>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</si>
  <si>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</si>
  <si>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</si>
  <si>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</si>
  <si>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</si>
  <si>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</si>
  <si>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</si>
  <si>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</si>
  <si>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</si>
  <si>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</si>
  <si>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</si>
  <si>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</si>
  <si>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</si>
  <si>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</si>
  <si>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</si>
  <si>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</si>
  <si>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</si>
  <si>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</si>
  <si>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</si>
  <si>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</si>
  <si>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</si>
  <si>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</si>
  <si>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</si>
  <si>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</si>
  <si>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</si>
  <si>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</si>
  <si>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</si>
  <si>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</si>
  <si>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</si>
  <si>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</si>
  <si>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</si>
  <si>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</si>
  <si>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</si>
  <si>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</si>
  <si>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</si>
  <si>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</si>
  <si>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</si>
  <si>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</si>
  <si>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</si>
  <si>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</si>
  <si>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</si>
  <si>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</si>
  <si>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</si>
  <si>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</si>
  <si>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</si>
  <si>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</si>
  <si>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</si>
  <si>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</si>
  <si>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</si>
  <si>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</si>
  <si>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</si>
  <si>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</si>
  <si>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</si>
  <si>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</si>
  <si>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</si>
  <si>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</si>
  <si>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</si>
  <si>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</si>
  <si>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</si>
  <si>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</si>
  <si>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</si>
  <si>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</si>
  <si>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</si>
  <si>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</si>
  <si>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</si>
  <si>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</si>
  <si>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</si>
  <si>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</si>
  <si>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</si>
  <si>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</si>
  <si>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</si>
  <si>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</si>
  <si>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</si>
  <si>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</si>
  <si>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</si>
  <si>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</si>
  <si>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</si>
  <si>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</si>
  <si>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</si>
  <si>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</si>
  <si>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</si>
  <si>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</si>
  <si>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</si>
  <si>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</si>
  <si>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</si>
  <si>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</si>
  <si>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</si>
  <si>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</si>
  <si>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</si>
  <si>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</si>
  <si>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</si>
  <si>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</si>
  <si>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</si>
  <si>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</si>
  <si>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</si>
  <si>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</si>
  <si>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</si>
  <si>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</si>
  <si>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</si>
  <si>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</si>
  <si>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</si>
  <si>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</si>
  <si>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</si>
  <si>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</si>
  <si>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</si>
  <si>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</si>
  <si>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</si>
  <si>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</si>
  <si>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</si>
  <si>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</si>
  <si>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</si>
  <si>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</si>
  <si>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</si>
  <si>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</si>
  <si>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</si>
  <si>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</si>
  <si>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</si>
  <si>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</si>
  <si>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</si>
  <si>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</si>
  <si>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</si>
  <si>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</si>
  <si>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</si>
  <si>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</si>
  <si>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</si>
  <si>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</si>
  <si>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</si>
  <si>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</si>
  <si>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</si>
  <si>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</si>
  <si>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</si>
  <si>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</si>
  <si>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</si>
  <si>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</si>
  <si>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</si>
  <si>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</si>
  <si>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</si>
  <si>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</si>
  <si>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</si>
  <si>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</si>
  <si>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</si>
  <si>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</si>
  <si>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</si>
  <si>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</si>
  <si>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</si>
  <si>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</si>
  <si>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</si>
  <si>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</si>
  <si>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</si>
  <si>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</si>
  <si>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</si>
  <si>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</si>
  <si>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</si>
  <si>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</si>
  <si>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</si>
  <si>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</si>
  <si>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</si>
  <si>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</si>
  <si>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</si>
  <si>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</si>
  <si>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</si>
  <si>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</si>
  <si>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</si>
  <si>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</si>
  <si>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</si>
  <si>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</si>
  <si>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</si>
  <si>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</si>
  <si>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</si>
  <si>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</si>
  <si>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</si>
  <si>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</si>
  <si>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</si>
  <si>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</si>
  <si>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</si>
  <si>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</si>
  <si>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</si>
  <si>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</si>
  <si>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</si>
  <si>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</si>
  <si>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</si>
  <si>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</si>
  <si>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</si>
  <si>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</si>
  <si>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</si>
  <si>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</si>
  <si>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</si>
  <si>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</si>
  <si>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</si>
  <si>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</si>
  <si>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</si>
  <si>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</si>
  <si>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</si>
  <si>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</si>
  <si>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</si>
  <si>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</si>
  <si>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</si>
  <si>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</si>
  <si>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</si>
  <si>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</si>
  <si>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</si>
  <si>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</si>
  <si>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</si>
  <si>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</si>
  <si>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</si>
  <si>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</si>
  <si>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</si>
  <si>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</si>
  <si>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</si>
  <si>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</si>
  <si>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</si>
  <si>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</si>
  <si>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</si>
  <si>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</si>
  <si>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</si>
  <si>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</si>
  <si>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</si>
  <si>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</si>
  <si>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</si>
  <si>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</si>
  <si>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</si>
  <si>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</si>
  <si>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</si>
  <si>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</si>
  <si>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</si>
  <si>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</si>
  <si>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</si>
  <si>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</si>
  <si>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</si>
  <si>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</si>
  <si>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</si>
  <si>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</si>
  <si>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</si>
  <si>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</si>
  <si>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</si>
  <si>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</si>
  <si>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</si>
  <si>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</si>
  <si>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</si>
  <si>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</si>
  <si>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</si>
  <si>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</si>
  <si>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</si>
  <si>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</si>
  <si>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</si>
  <si>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</si>
  <si>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</si>
  <si>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</si>
  <si>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</si>
  <si>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</si>
  <si>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</si>
  <si>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</si>
  <si>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</si>
  <si>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</si>
  <si>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</si>
  <si>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</si>
  <si>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</si>
  <si>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</si>
  <si>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</si>
  <si>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</si>
  <si>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</si>
  <si>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</si>
  <si>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</si>
  <si>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</si>
  <si>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</si>
  <si>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</si>
  <si>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</si>
  <si>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</si>
  <si>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</si>
  <si>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</si>
  <si>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</si>
  <si>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</si>
  <si>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</si>
  <si>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</si>
  <si>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</si>
  <si>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</si>
  <si>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</si>
  <si>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</si>
  <si>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</si>
  <si>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</si>
  <si>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</si>
  <si>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</si>
  <si>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</si>
  <si>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</si>
  <si>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</si>
  <si>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</si>
  <si>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</si>
  <si>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</si>
  <si>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</si>
  <si>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</si>
  <si>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</si>
  <si>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</si>
  <si>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</si>
  <si>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</si>
  <si>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</si>
  <si>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</si>
  <si>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</si>
  <si>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</si>
  <si>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</si>
  <si>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</si>
  <si>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</si>
  <si>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</si>
  <si>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</si>
  <si>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</si>
  <si>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</si>
  <si>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</si>
  <si>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</si>
  <si>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</si>
  <si>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</si>
  <si>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</si>
  <si>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</si>
  <si>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</si>
  <si>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</si>
  <si>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</si>
  <si>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</si>
  <si>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</si>
  <si>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</si>
  <si>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</si>
  <si>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</si>
  <si>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</si>
  <si>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</si>
  <si>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</si>
  <si>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</si>
  <si>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</si>
  <si>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</si>
  <si>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</si>
  <si>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</si>
  <si>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</si>
  <si>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</si>
  <si>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</si>
  <si>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</si>
  <si>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</si>
  <si>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</si>
  <si>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</si>
  <si>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</si>
  <si>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</si>
  <si>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</si>
  <si>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</si>
  <si>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</si>
  <si>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</si>
  <si>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</si>
  <si>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</si>
  <si>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</si>
  <si>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</si>
  <si>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</si>
  <si>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</si>
  <si>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</si>
  <si>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</si>
  <si>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</si>
  <si>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</si>
  <si>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</si>
  <si>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</si>
  <si>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</si>
  <si>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</si>
  <si>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</si>
  <si>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</si>
  <si>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</si>
  <si>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</si>
  <si>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</si>
  <si>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</si>
  <si>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</si>
  <si>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</si>
  <si>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</si>
  <si>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</si>
  <si>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</si>
  <si>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</si>
  <si>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</si>
  <si>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</si>
  <si>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</si>
  <si>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</si>
  <si>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</si>
  <si>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</si>
  <si>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</si>
  <si>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</si>
  <si>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</si>
  <si>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</si>
  <si>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</si>
  <si>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</si>
  <si>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</si>
  <si>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</si>
  <si>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</si>
  <si>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</si>
  <si>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</si>
  <si>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</si>
  <si>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</si>
  <si>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</si>
  <si>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</si>
  <si>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</si>
  <si>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</si>
  <si>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</si>
  <si>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</si>
  <si>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</si>
  <si>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</si>
  <si>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</si>
  <si>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</si>
  <si>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</si>
  <si>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</si>
  <si>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</si>
  <si>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</si>
  <si>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</si>
  <si>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</si>
  <si>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</si>
  <si>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</si>
  <si>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</si>
  <si>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</si>
  <si>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</si>
  <si>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</si>
  <si>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</si>
  <si>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</si>
  <si>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</si>
  <si>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</si>
  <si>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</si>
  <si>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</si>
  <si>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</si>
  <si>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</si>
  <si>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</si>
  <si>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</si>
  <si>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</si>
  <si>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</si>
  <si>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</si>
  <si>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</si>
  <si>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</si>
  <si>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</si>
  <si>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</si>
  <si>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</si>
  <si>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</si>
  <si>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</si>
  <si>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</si>
  <si>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</si>
  <si>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</si>
  <si>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</si>
  <si>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</si>
  <si>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</si>
  <si>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</si>
  <si>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</si>
  <si>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</si>
  <si>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</si>
  <si>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</si>
  <si>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</si>
  <si>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</si>
  <si>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</si>
  <si>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</si>
  <si>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</si>
  <si>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</si>
  <si>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</si>
  <si>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</si>
  <si>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</si>
  <si>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</si>
  <si>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</si>
  <si>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</si>
  <si>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</si>
  <si>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</si>
  <si>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</si>
  <si>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</si>
  <si>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</si>
  <si>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</si>
  <si>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</si>
  <si>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</si>
  <si>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</si>
  <si>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</si>
  <si>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</si>
  <si>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</si>
  <si>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</si>
  <si>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</si>
  <si>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</si>
  <si>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</si>
  <si>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</si>
  <si>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</si>
  <si>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</si>
  <si>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</si>
  <si>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</si>
  <si>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</si>
  <si>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</si>
  <si>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</si>
  <si>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</si>
  <si>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</si>
  <si>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</si>
  <si>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</si>
  <si>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</si>
  <si>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</si>
  <si>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</si>
  <si>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</si>
  <si>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</si>
  <si>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</si>
  <si>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</si>
  <si>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</si>
  <si>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</si>
  <si>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</si>
  <si>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</si>
  <si>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</si>
  <si>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</si>
  <si>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</si>
  <si>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</si>
  <si>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</si>
  <si>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</si>
  <si>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</si>
  <si>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</si>
  <si>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</si>
  <si>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</si>
  <si>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</si>
  <si>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</si>
  <si>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</si>
  <si>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</si>
  <si>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</si>
  <si>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</si>
  <si>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</si>
  <si>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</si>
  <si>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</si>
  <si>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</si>
  <si>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</si>
  <si>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</si>
  <si>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</si>
  <si>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</si>
  <si>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</si>
  <si>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</si>
  <si>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</si>
  <si>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</si>
  <si>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</si>
  <si>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</si>
  <si>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</si>
  <si>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</si>
  <si>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</si>
  <si>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</si>
  <si>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</si>
  <si>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</si>
  <si>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</si>
  <si>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</si>
  <si>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</si>
  <si>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</si>
  <si>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</si>
  <si>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</si>
  <si>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</si>
  <si>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</si>
  <si>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</si>
  <si>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</si>
  <si>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</si>
  <si>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</si>
  <si>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</si>
  <si>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</si>
  <si>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</si>
  <si>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</si>
  <si>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</si>
  <si>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</si>
  <si>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</si>
  <si>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</si>
  <si>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</si>
  <si>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</si>
  <si>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</si>
  <si>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</si>
  <si>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</si>
  <si>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</si>
  <si>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</si>
  <si>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</si>
  <si>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</si>
  <si>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</si>
  <si>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</si>
  <si>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</si>
  <si>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</si>
  <si>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</si>
  <si>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</si>
  <si>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</si>
  <si>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</si>
  <si>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</si>
  <si>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</si>
  <si>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</si>
  <si>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</si>
  <si>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</si>
  <si>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</si>
  <si>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</si>
  <si>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</si>
  <si>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</si>
  <si>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</si>
  <si>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</si>
  <si>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</si>
  <si>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</si>
  <si>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</si>
  <si>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</si>
  <si>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</si>
  <si>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</si>
  <si>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</si>
  <si>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</si>
  <si>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</si>
  <si>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</si>
  <si>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</si>
  <si>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</si>
  <si>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</si>
  <si>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</si>
  <si>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</si>
  <si>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</si>
  <si>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</si>
  <si>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</si>
  <si>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</si>
  <si>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</si>
  <si>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</si>
  <si>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</si>
  <si>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</si>
  <si>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</si>
  <si>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</si>
  <si>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</si>
  <si>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</si>
  <si>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</si>
  <si>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</si>
  <si>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</si>
  <si>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</si>
  <si>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</si>
  <si>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</si>
  <si>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</si>
  <si>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</si>
  <si>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</si>
  <si>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</si>
  <si>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</si>
  <si>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</si>
  <si>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</si>
  <si>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</si>
  <si>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</si>
  <si>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</si>
  <si>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</si>
  <si>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</si>
  <si>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</si>
  <si>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</si>
  <si>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</si>
  <si>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</si>
  <si>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</si>
  <si>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</si>
  <si>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</si>
  <si>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</si>
  <si>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</si>
  <si>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</si>
  <si>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</si>
  <si>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</si>
  <si>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</si>
  <si>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</si>
  <si>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</si>
  <si>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</si>
  <si>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</si>
  <si>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</si>
  <si>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</si>
  <si>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</si>
  <si>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</si>
  <si>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</si>
  <si>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</si>
  <si>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</si>
  <si>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</si>
  <si>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</si>
  <si>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</si>
  <si>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</si>
  <si>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</si>
  <si>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</si>
  <si>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</si>
  <si>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</si>
  <si>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</si>
  <si>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</si>
  <si>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</si>
  <si>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</si>
  <si>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</si>
  <si>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</si>
  <si>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</si>
  <si>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</si>
  <si>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</si>
  <si>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</si>
  <si>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</si>
  <si>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</si>
  <si>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</si>
  <si>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</si>
  <si>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</si>
  <si>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</si>
  <si>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</si>
  <si>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</si>
  <si>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</si>
  <si>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</si>
  <si>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</si>
  <si>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</si>
  <si>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</si>
  <si>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</si>
  <si>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</si>
  <si>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</si>
  <si>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</si>
  <si>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</si>
  <si>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</si>
  <si>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</si>
  <si>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</si>
  <si>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</si>
  <si>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</si>
  <si>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</si>
  <si>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</si>
  <si>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</si>
  <si>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</si>
  <si>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</si>
  <si>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</si>
  <si>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</si>
  <si>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</si>
  <si>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</si>
  <si>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</si>
  <si>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</si>
  <si>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</si>
  <si>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</si>
  <si>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</si>
  <si>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</si>
  <si>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</si>
  <si>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</si>
  <si>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</si>
  <si>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</si>
  <si>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</si>
  <si>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</si>
  <si>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</si>
  <si>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</si>
  <si>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</si>
  <si>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</si>
  <si>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</si>
  <si>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</si>
  <si>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</si>
  <si>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</si>
  <si>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</si>
  <si>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</si>
  <si>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</si>
  <si>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</si>
  <si>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</si>
  <si>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</si>
  <si>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</si>
  <si>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</si>
  <si>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</si>
  <si>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</si>
  <si>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</si>
  <si>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</si>
  <si>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</si>
  <si>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</si>
  <si>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</si>
  <si>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</si>
  <si>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</si>
  <si>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</si>
  <si>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</si>
  <si>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</si>
  <si>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</si>
  <si>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</si>
  <si>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</si>
  <si>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</si>
  <si>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</si>
  <si>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</si>
  <si>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</si>
  <si>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</si>
  <si>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</si>
  <si>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</si>
  <si>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</si>
  <si>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</si>
  <si>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</si>
  <si>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</si>
  <si>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</si>
  <si>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</si>
  <si>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</si>
  <si>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</si>
  <si>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</si>
  <si>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</si>
  <si>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</si>
  <si>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</si>
  <si>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</si>
  <si>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</si>
  <si>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</si>
  <si>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</si>
  <si>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</si>
  <si>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</si>
  <si>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</si>
  <si>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</si>
  <si>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</si>
  <si>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</si>
  <si>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</si>
  <si>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</si>
  <si>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</si>
  <si>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</si>
  <si>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</si>
  <si>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</si>
  <si>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</si>
  <si>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</si>
  <si>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</si>
  <si>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</si>
  <si>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</si>
  <si>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</si>
  <si>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</si>
  <si>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</si>
  <si>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</si>
  <si>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</si>
  <si>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</si>
  <si>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</si>
  <si>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</si>
  <si>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</si>
  <si>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</si>
  <si>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</si>
  <si>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</si>
  <si>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</si>
  <si>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</si>
  <si>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</si>
  <si>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</si>
  <si>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</si>
  <si>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</si>
  <si>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</si>
  <si>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</si>
  <si>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</si>
  <si>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</si>
  <si>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</si>
  <si>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</si>
  <si>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</si>
  <si>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</si>
  <si>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</si>
  <si>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</si>
  <si>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</si>
  <si>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</si>
  <si>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</si>
  <si>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</si>
  <si>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</si>
  <si>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</si>
  <si>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</si>
  <si>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</si>
  <si>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</si>
  <si>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</si>
  <si>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</si>
  <si>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</si>
  <si>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</si>
  <si>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</si>
  <si>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</si>
  <si>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</si>
  <si>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</si>
  <si>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</si>
  <si>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</si>
  <si>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</si>
  <si>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</si>
  <si>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</si>
  <si>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</si>
  <si>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</si>
  <si>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</si>
  <si>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</si>
  <si>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</si>
  <si>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</si>
  <si>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</si>
  <si>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</si>
  <si>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</si>
  <si>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</si>
  <si>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</si>
  <si>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</si>
  <si>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</si>
  <si>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</si>
  <si>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</si>
  <si>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</si>
  <si>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</si>
  <si>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</si>
  <si>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</si>
  <si>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</si>
  <si>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</si>
  <si>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</si>
  <si>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</si>
  <si>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</si>
  <si>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</si>
  <si>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</si>
  <si>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</si>
  <si>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</si>
  <si>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</si>
  <si>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</si>
  <si>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</si>
  <si>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</si>
  <si>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</si>
  <si>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</si>
  <si>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</si>
  <si>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</si>
  <si>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</si>
  <si>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</si>
  <si>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</si>
  <si>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</si>
  <si>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</si>
  <si>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</si>
  <si>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</si>
  <si>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</si>
  <si>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</si>
  <si>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</si>
  <si>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</si>
  <si>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</si>
  <si>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</si>
  <si>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</si>
  <si>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</si>
  <si>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</si>
  <si>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</si>
  <si>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</si>
  <si>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</si>
  <si>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</si>
  <si>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</si>
  <si>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</si>
  <si>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</si>
  <si>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</si>
  <si>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</si>
  <si>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</si>
  <si>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</si>
  <si>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</si>
  <si>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</si>
  <si>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</si>
  <si>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</si>
  <si>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</si>
  <si>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</si>
  <si>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</si>
  <si>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</si>
  <si>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</si>
  <si>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</si>
  <si>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</si>
  <si>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</si>
  <si>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</si>
  <si>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</si>
  <si>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</si>
  <si>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</si>
  <si>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</si>
  <si>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</si>
  <si>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</si>
  <si>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</si>
  <si>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</si>
  <si>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</si>
  <si>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</si>
  <si>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</si>
  <si>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</si>
  <si>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</si>
  <si>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</si>
  <si>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</si>
  <si>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</si>
  <si>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</si>
  <si>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</si>
  <si>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</si>
  <si>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</si>
  <si>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</si>
  <si>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</si>
  <si>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</si>
  <si>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</si>
  <si>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</si>
  <si>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</si>
  <si>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</si>
  <si>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</si>
  <si>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</si>
  <si>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</si>
  <si>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</si>
  <si>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</si>
  <si>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</si>
  <si>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</si>
  <si>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</si>
  <si>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</si>
  <si>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</si>
  <si>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</si>
  <si>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</si>
  <si>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</si>
  <si>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</si>
  <si>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</si>
  <si>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</si>
  <si>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</si>
  <si>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</si>
  <si>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</si>
  <si>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</si>
  <si>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</si>
  <si>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</si>
  <si>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</si>
  <si>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</si>
  <si>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</si>
  <si>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</si>
  <si>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</si>
  <si>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</si>
  <si>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</si>
  <si>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</si>
  <si>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</si>
  <si>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</si>
  <si>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</si>
  <si>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</si>
  <si>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</si>
  <si>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</si>
  <si>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</si>
  <si>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</si>
  <si>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</si>
  <si>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</si>
  <si>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</si>
  <si>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</si>
  <si>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</si>
  <si>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</si>
  <si>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</si>
  <si>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</si>
  <si>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</si>
  <si>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</si>
  <si>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</si>
  <si>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</si>
  <si>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</si>
  <si>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</si>
  <si>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</si>
  <si>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</si>
  <si>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</si>
  <si>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</si>
  <si>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</si>
  <si>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</si>
  <si>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</si>
  <si>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</si>
  <si>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</si>
  <si>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</si>
  <si>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</si>
  <si>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</si>
  <si>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</si>
  <si>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</si>
  <si>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</si>
  <si>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</si>
  <si>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</si>
  <si>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</si>
  <si>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</si>
  <si>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</si>
  <si>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</si>
  <si>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</si>
  <si>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</si>
  <si>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</si>
  <si>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</si>
  <si>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</si>
  <si>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</si>
  <si>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</si>
  <si>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</si>
  <si>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</si>
  <si>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</si>
  <si>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</si>
  <si>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</si>
  <si>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</si>
  <si>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</si>
  <si>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</si>
  <si>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</si>
  <si>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</si>
  <si>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</si>
  <si>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</si>
  <si>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</si>
  <si>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</si>
  <si>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</si>
  <si>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</si>
  <si>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</si>
  <si>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</si>
  <si>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</si>
  <si>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</si>
  <si>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</si>
  <si>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</si>
  <si>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</si>
  <si>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</si>
  <si>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</si>
  <si>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</si>
  <si>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</si>
  <si>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</si>
  <si>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</si>
  <si>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</si>
  <si>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</si>
  <si>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</si>
  <si>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</si>
  <si>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</si>
  <si>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</si>
  <si>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</si>
  <si>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</si>
  <si>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</si>
  <si>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</si>
  <si>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</si>
  <si>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</si>
  <si>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</si>
  <si>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</si>
  <si>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</si>
  <si>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</si>
  <si>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</si>
  <si>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</si>
  <si>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</si>
  <si>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</si>
  <si>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</si>
  <si>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</si>
  <si>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</si>
  <si>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</si>
  <si>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</si>
  <si>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</si>
  <si>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</si>
  <si>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</si>
  <si>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</si>
  <si>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</si>
  <si>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</si>
  <si>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</si>
  <si>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</si>
  <si>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</si>
  <si>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</si>
  <si>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</si>
  <si>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</si>
  <si>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</si>
  <si>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</si>
  <si>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</si>
  <si>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</si>
  <si>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</si>
  <si>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</si>
  <si>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</si>
  <si>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</si>
  <si>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</si>
  <si>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</si>
  <si>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</si>
  <si>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</si>
  <si>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</si>
  <si>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</si>
  <si>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</si>
  <si>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</si>
  <si>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</si>
  <si>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</si>
  <si>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</si>
  <si>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</si>
  <si>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</si>
  <si>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</si>
  <si>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</si>
  <si>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</si>
  <si>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</si>
  <si>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</si>
  <si>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</si>
  <si>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</si>
  <si>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</si>
  <si>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</si>
  <si>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</si>
  <si>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</si>
  <si>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</si>
  <si>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</si>
  <si>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</si>
  <si>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</si>
  <si>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</si>
  <si>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</si>
  <si>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</si>
  <si>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</si>
  <si>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</si>
  <si>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</si>
  <si>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</si>
  <si>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</si>
  <si>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</si>
  <si>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</si>
  <si>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</si>
  <si>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</si>
  <si>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</si>
  <si>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</si>
  <si>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</si>
  <si>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</si>
  <si>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</si>
  <si>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</si>
  <si>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</si>
  <si>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</si>
  <si>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</si>
  <si>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</si>
  <si>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</si>
  <si>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</si>
  <si>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</si>
  <si>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</si>
  <si>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</si>
  <si>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</si>
  <si>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</si>
  <si>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</si>
  <si>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</si>
  <si>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</si>
  <si>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</si>
  <si>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</si>
  <si>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</si>
  <si>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</si>
  <si>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</si>
  <si>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</si>
  <si>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</si>
  <si>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</si>
  <si>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</si>
  <si>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</si>
  <si>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</si>
  <si>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</si>
  <si>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</si>
  <si>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</si>
  <si>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</si>
  <si>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</si>
  <si>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</si>
  <si>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</si>
  <si>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</si>
  <si>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</si>
  <si>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</si>
  <si>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</si>
  <si>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</si>
  <si>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</si>
  <si>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</si>
  <si>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</si>
  <si>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</si>
  <si>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</si>
  <si>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</si>
  <si>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</si>
  <si>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</si>
  <si>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</si>
  <si>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</si>
  <si>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</si>
  <si>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</si>
  <si>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</si>
  <si>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</si>
  <si>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</si>
  <si>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</si>
  <si>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</si>
  <si>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</si>
  <si>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</si>
  <si>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</si>
  <si>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</si>
  <si>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</si>
  <si>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</si>
  <si>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</si>
  <si>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</si>
  <si>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</si>
  <si>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</si>
  <si>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</si>
  <si>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</si>
  <si>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</si>
  <si>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</si>
  <si>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</si>
  <si>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</si>
  <si>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</si>
  <si>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</si>
  <si>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</si>
  <si>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</si>
  <si>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</si>
  <si>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</si>
  <si>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</si>
  <si>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</si>
  <si>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</si>
  <si>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</si>
  <si>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</si>
  <si>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</si>
  <si>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</si>
  <si>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</si>
  <si>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</si>
  <si>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</si>
  <si>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</si>
  <si>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</si>
  <si>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</si>
  <si>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</si>
  <si>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</si>
  <si>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</si>
  <si>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</si>
  <si>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</si>
  <si>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</si>
  <si>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</si>
  <si>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</si>
  <si>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</si>
  <si>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</si>
  <si>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</si>
  <si>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</si>
  <si>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</si>
  <si>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</si>
  <si>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</si>
  <si>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</si>
  <si>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</si>
  <si>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</si>
  <si>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</si>
  <si>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</si>
  <si>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</si>
  <si>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</si>
  <si>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</si>
  <si>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</si>
  <si>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</si>
  <si>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</si>
  <si>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</si>
  <si>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</si>
  <si>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</si>
  <si>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</si>
  <si>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</si>
  <si>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</si>
  <si>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</si>
  <si>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</si>
  <si>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</si>
  <si>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</si>
  <si>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</si>
  <si>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</si>
  <si>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</si>
  <si>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</si>
  <si>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</si>
  <si>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</si>
  <si>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</si>
  <si>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</si>
  <si>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</si>
  <si>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</si>
  <si>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</si>
  <si>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</si>
  <si>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</si>
  <si>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</si>
  <si>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</si>
  <si>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</si>
  <si>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</si>
  <si>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</si>
  <si>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</si>
  <si>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</si>
  <si>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</si>
  <si>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</si>
  <si>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</si>
  <si>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</si>
  <si>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</si>
  <si>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</si>
  <si>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</si>
  <si>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</si>
  <si>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</si>
  <si>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</si>
  <si>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</si>
  <si>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</si>
  <si>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</si>
  <si>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</si>
  <si>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</si>
  <si>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</si>
  <si>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</si>
  <si>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</si>
  <si>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</si>
  <si>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</si>
  <si>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</si>
  <si>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</si>
  <si>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</si>
  <si>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</si>
  <si>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</si>
  <si>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</si>
  <si>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</si>
  <si>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</si>
  <si>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</si>
  <si>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</si>
  <si>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</si>
  <si>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</si>
  <si>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</si>
  <si>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</si>
  <si>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</si>
  <si>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</si>
  <si>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</si>
  <si>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</si>
  <si>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</si>
  <si>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</si>
  <si>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</si>
  <si>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</si>
  <si>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</si>
  <si>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</si>
  <si>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</si>
  <si>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</si>
  <si>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</si>
  <si>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</si>
  <si>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</si>
  <si>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</si>
  <si>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</si>
  <si>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</si>
  <si>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</si>
  <si>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</si>
  <si>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</si>
  <si>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</si>
  <si>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</si>
  <si>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</si>
  <si>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</si>
  <si>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</si>
  <si>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</si>
  <si>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</si>
  <si>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</si>
  <si>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</si>
  <si>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</si>
  <si>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</si>
  <si>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</si>
  <si>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</si>
  <si>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</si>
  <si>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</si>
  <si>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</si>
  <si>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</si>
  <si>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</si>
  <si>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</si>
  <si>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</si>
  <si>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</si>
  <si>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</si>
  <si>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</si>
  <si>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</si>
  <si>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</si>
  <si>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</si>
  <si>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</si>
  <si>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</si>
  <si>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</si>
  <si>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</si>
  <si>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</si>
  <si>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</si>
  <si>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</si>
  <si>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</si>
  <si>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</si>
  <si>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</si>
  <si>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</si>
  <si>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</si>
  <si>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</si>
  <si>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</si>
  <si>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</si>
  <si>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</si>
  <si>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</si>
  <si>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</si>
  <si>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</si>
  <si>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</si>
  <si>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</si>
  <si>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</si>
  <si>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</si>
  <si>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</si>
  <si>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</si>
  <si>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</si>
  <si>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</si>
  <si>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</si>
  <si>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</si>
  <si>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</si>
  <si>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</si>
  <si>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</si>
  <si>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</si>
  <si>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</si>
  <si>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</si>
  <si>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</si>
  <si>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</si>
  <si>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</si>
  <si>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</si>
  <si>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</si>
  <si>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</si>
  <si>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</si>
  <si>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</si>
  <si>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</si>
  <si>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</si>
  <si>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</si>
  <si>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</si>
  <si>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</si>
  <si>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</si>
  <si>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</si>
  <si>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</si>
  <si>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</si>
  <si>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</si>
  <si>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</si>
  <si>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</si>
  <si>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</si>
  <si>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</si>
  <si>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</si>
  <si>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</si>
  <si>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</si>
  <si>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</si>
  <si>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</si>
  <si>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</si>
  <si>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</si>
  <si>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</si>
  <si>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</si>
  <si>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</si>
  <si>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</si>
  <si>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</si>
  <si>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</si>
  <si>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</si>
  <si>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</si>
  <si>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</si>
  <si>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</si>
  <si>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</si>
  <si>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</si>
  <si>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</si>
  <si>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</si>
  <si>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</si>
  <si>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</si>
  <si>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</si>
  <si>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</si>
  <si>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</si>
  <si>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</si>
  <si>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</si>
  <si>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</si>
  <si>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</si>
  <si>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</si>
  <si>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</si>
  <si>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</si>
  <si>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</si>
  <si>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</si>
  <si>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</si>
  <si>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</si>
  <si>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</si>
  <si>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</si>
  <si>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</si>
  <si>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</si>
  <si>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</si>
  <si>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</si>
  <si>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</si>
  <si>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</si>
  <si>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</si>
  <si>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</si>
  <si>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</si>
  <si>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</si>
  <si>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</si>
  <si>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</si>
  <si>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</si>
  <si>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</si>
  <si>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</si>
  <si>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</si>
  <si>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</si>
  <si>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</si>
  <si>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</si>
  <si>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</si>
  <si>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</si>
  <si>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</si>
  <si>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</si>
  <si>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</si>
  <si>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</si>
  <si>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</si>
  <si>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</si>
  <si>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</si>
  <si>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</si>
  <si>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</si>
  <si>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</si>
  <si>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</si>
  <si>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</si>
  <si>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</si>
  <si>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</si>
  <si>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</si>
  <si>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</si>
  <si>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</si>
  <si>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</si>
  <si>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</si>
  <si>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</si>
  <si>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</si>
  <si>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</si>
  <si>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</si>
  <si>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</si>
  <si>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</si>
  <si>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</si>
  <si>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</si>
  <si>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</si>
  <si>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</si>
  <si>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</si>
  <si>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</si>
  <si>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</si>
  <si>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</si>
  <si>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</si>
  <si>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</si>
  <si>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</si>
  <si>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</si>
  <si>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</si>
  <si>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</si>
  <si>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</si>
  <si>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</si>
  <si>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</si>
  <si>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</si>
  <si>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</si>
  <si>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</si>
  <si>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</si>
  <si>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</si>
  <si>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</si>
  <si>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</si>
  <si>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</si>
  <si>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</si>
  <si>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</si>
  <si>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</si>
  <si>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</si>
  <si>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</si>
  <si>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</si>
  <si>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</si>
  <si>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</si>
  <si>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</si>
  <si>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</si>
  <si>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</si>
  <si>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</si>
  <si>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</si>
  <si>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</si>
  <si>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</si>
  <si>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</si>
  <si>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</si>
  <si>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</si>
  <si>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</si>
  <si>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</si>
  <si>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</si>
  <si>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</si>
  <si>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</si>
  <si>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</si>
  <si>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</si>
  <si>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</si>
  <si>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</si>
  <si>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</si>
  <si>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</si>
  <si>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</si>
  <si>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</si>
  <si>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</si>
  <si>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</si>
  <si>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</si>
  <si>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</si>
  <si>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</si>
  <si>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</si>
  <si>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</si>
  <si>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</si>
  <si>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</si>
  <si>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</si>
  <si>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</si>
  <si>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</si>
  <si>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</si>
  <si>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</si>
  <si>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</si>
  <si>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</si>
  <si>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</si>
  <si>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</si>
  <si>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</si>
  <si>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</si>
  <si>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</si>
  <si>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</si>
  <si>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</si>
  <si>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</si>
  <si>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</si>
  <si>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</si>
  <si>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</si>
  <si>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</si>
  <si>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</si>
  <si>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</si>
  <si>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</si>
  <si>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</si>
  <si>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</si>
  <si>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</si>
  <si>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</si>
  <si>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</si>
  <si>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</si>
  <si>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</si>
  <si>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</si>
  <si>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</si>
  <si>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</si>
  <si>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</si>
  <si>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</si>
  <si>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</si>
  <si>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</si>
  <si>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</si>
  <si>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</si>
  <si>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</si>
  <si>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</si>
  <si>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</si>
  <si>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</si>
  <si>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</si>
  <si>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</si>
  <si>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</si>
  <si>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</si>
  <si>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</si>
  <si>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</si>
  <si>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</si>
  <si>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</si>
  <si>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</si>
  <si>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</si>
  <si>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</si>
  <si>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</si>
  <si>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</si>
  <si>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</si>
  <si>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</si>
  <si>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</si>
  <si>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</si>
  <si>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</si>
  <si>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</si>
  <si>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</si>
  <si>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</si>
  <si>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</si>
  <si>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</si>
  <si>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</si>
  <si>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</si>
  <si>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</si>
  <si>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</si>
  <si>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</si>
  <si>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</si>
  <si>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</si>
  <si>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</si>
  <si>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</si>
  <si>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</si>
  <si>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</si>
  <si>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</si>
  <si>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</si>
  <si>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</si>
  <si>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</si>
  <si>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</si>
  <si>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</si>
  <si>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</si>
  <si>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</si>
  <si>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</si>
  <si>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</si>
  <si>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</si>
  <si>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</si>
  <si>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</si>
  <si>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</si>
  <si>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</si>
  <si>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</si>
  <si>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</si>
  <si>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</si>
  <si>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</si>
  <si>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</si>
  <si>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</si>
  <si>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</si>
  <si>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</si>
  <si>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</si>
  <si>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</si>
  <si>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</si>
  <si>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</si>
  <si>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</si>
  <si>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</si>
  <si>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</si>
  <si>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</si>
  <si>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</si>
  <si>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</si>
  <si>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</si>
  <si>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</si>
  <si>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</si>
  <si>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</si>
  <si>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</si>
  <si>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</si>
  <si>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</si>
  <si>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</si>
  <si>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</si>
  <si>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</si>
  <si>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</si>
  <si>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</si>
  <si>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</si>
  <si>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</si>
  <si>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</si>
  <si>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</si>
  <si>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</si>
  <si>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</si>
  <si>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</si>
  <si>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</si>
  <si>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</si>
  <si>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</si>
  <si>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</si>
  <si>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</si>
  <si>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</si>
  <si>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</si>
  <si>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</si>
  <si>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</si>
  <si>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</si>
  <si>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</si>
  <si>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</si>
  <si>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</si>
  <si>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</si>
  <si>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</si>
  <si>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</si>
  <si>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</si>
  <si>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</si>
  <si>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</si>
  <si>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</si>
  <si>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</si>
  <si>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</si>
  <si>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</si>
  <si>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</si>
  <si>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</si>
  <si>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</si>
  <si>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</si>
  <si>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</si>
  <si>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</si>
  <si>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</si>
  <si>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</si>
  <si>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</si>
  <si>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</si>
  <si>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</si>
  <si>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</si>
  <si>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</si>
  <si>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</si>
  <si>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</si>
  <si>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</si>
  <si>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</si>
  <si>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</si>
  <si>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</si>
  <si>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</si>
  <si>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</si>
  <si>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</si>
  <si>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</si>
  <si>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</si>
  <si>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</si>
  <si>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</si>
  <si>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</si>
  <si>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</si>
  <si>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</si>
  <si>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</si>
  <si>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</si>
  <si>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</si>
  <si>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</si>
  <si>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</si>
  <si>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</si>
  <si>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</si>
  <si>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</si>
  <si>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</si>
  <si>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</si>
  <si>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</si>
  <si>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</si>
  <si>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</si>
  <si>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</si>
  <si>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</si>
  <si>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</si>
  <si>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</si>
  <si>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</si>
  <si>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</si>
  <si>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</si>
  <si>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</si>
  <si>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</si>
  <si>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</si>
  <si>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</si>
  <si>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</si>
  <si>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</si>
  <si>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</si>
  <si>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</si>
  <si>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</si>
  <si>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</si>
  <si>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</si>
  <si>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</si>
  <si>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</si>
  <si>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</si>
  <si>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</si>
  <si>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</si>
  <si>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</si>
  <si>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</si>
  <si>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</si>
  <si>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</si>
  <si>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</si>
  <si>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</si>
  <si>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</si>
  <si>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</si>
  <si>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</si>
  <si>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</si>
  <si>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</si>
  <si>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</si>
  <si>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</si>
  <si>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</si>
  <si>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</si>
  <si>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</si>
  <si>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</si>
  <si>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</si>
  <si>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</si>
  <si>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</si>
  <si>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</si>
  <si>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</si>
  <si>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</si>
  <si>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</si>
  <si>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</si>
  <si>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</si>
  <si>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</si>
  <si>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</si>
  <si>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</si>
  <si>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</si>
  <si>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</si>
  <si>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</si>
  <si>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</si>
  <si>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</si>
  <si>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</si>
  <si>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</si>
  <si>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</si>
  <si>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</si>
  <si>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</si>
  <si>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</si>
  <si>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</si>
  <si>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</si>
  <si>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</si>
  <si>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</si>
  <si>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</si>
  <si>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</si>
  <si>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</si>
  <si>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</si>
  <si>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</si>
  <si>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</si>
  <si>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</si>
  <si>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</si>
  <si>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</si>
  <si>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</si>
  <si>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</si>
  <si>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</si>
  <si>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</si>
  <si>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</si>
  <si>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</si>
  <si>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</si>
  <si>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</si>
  <si>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</si>
  <si>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</si>
  <si>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</si>
  <si>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</si>
  <si>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</si>
  <si>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</si>
  <si>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</si>
  <si>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</si>
  <si>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</si>
  <si>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</si>
  <si>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</si>
  <si>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</si>
  <si>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</si>
  <si>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</si>
  <si>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</si>
  <si>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</si>
  <si>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</si>
  <si>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</si>
  <si>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</si>
  <si>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</si>
  <si>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</si>
  <si>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</si>
  <si>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</si>
  <si>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</si>
  <si>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</si>
  <si>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</si>
  <si>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</si>
  <si>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</si>
  <si>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</si>
  <si>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</si>
  <si>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</si>
  <si>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</si>
  <si>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</si>
  <si>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</si>
  <si>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</si>
  <si>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</si>
  <si>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</si>
  <si>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</si>
  <si>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</si>
  <si>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</si>
  <si>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</si>
  <si>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</si>
  <si>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</si>
  <si>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</si>
  <si>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</si>
  <si>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</si>
  <si>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</si>
  <si>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</si>
  <si>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</si>
  <si>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</si>
  <si>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</si>
  <si>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</si>
  <si>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</si>
  <si>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</si>
  <si>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</si>
  <si>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</si>
  <si>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</si>
  <si>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</si>
  <si>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</si>
  <si>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</si>
  <si>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</si>
  <si>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</si>
  <si>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</si>
  <si>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</si>
  <si>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</si>
  <si>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</si>
  <si>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</si>
  <si>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</si>
  <si>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</si>
  <si>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</si>
  <si>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</si>
  <si>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</si>
  <si>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</si>
  <si>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</si>
  <si>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</si>
  <si>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</si>
  <si>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</si>
  <si>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</si>
  <si>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</si>
  <si>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</si>
  <si>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</si>
  <si>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</si>
  <si>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</si>
  <si>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</si>
  <si>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</si>
  <si>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</si>
  <si>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</si>
  <si>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</si>
  <si>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</si>
  <si>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</si>
  <si>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</si>
  <si>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</si>
  <si>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</si>
  <si>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</si>
  <si>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</si>
  <si>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</si>
  <si>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</si>
  <si>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</si>
  <si>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</si>
  <si>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</si>
  <si>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</si>
  <si>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</si>
  <si>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</si>
  <si>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</si>
  <si>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</si>
  <si>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</si>
  <si>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</si>
  <si>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</si>
  <si>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</si>
  <si>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</si>
  <si>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</si>
  <si>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</si>
  <si>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</si>
  <si>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</si>
  <si>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</si>
  <si>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</si>
  <si>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</si>
  <si>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</si>
  <si>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</si>
  <si>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</si>
  <si>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</si>
  <si>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</si>
  <si>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</si>
  <si>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</si>
  <si>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</si>
  <si>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</si>
  <si>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</si>
  <si>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</si>
  <si>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</si>
  <si>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</si>
  <si>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</si>
  <si>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</si>
  <si>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</si>
  <si>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</si>
  <si>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</si>
  <si>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</si>
  <si>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</si>
  <si>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</si>
  <si>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</si>
  <si>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</si>
  <si>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</si>
  <si>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</si>
  <si>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</si>
  <si>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</si>
  <si>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</si>
  <si>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</si>
  <si>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</si>
  <si>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</si>
  <si>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</si>
  <si>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</si>
  <si>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</si>
  <si>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</si>
  <si>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</si>
  <si>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</si>
  <si>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</si>
  <si>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</si>
  <si>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</si>
  <si>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</si>
  <si>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</si>
  <si>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</si>
  <si>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</si>
  <si>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</si>
  <si>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</si>
  <si>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</si>
  <si>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</si>
  <si>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</si>
  <si>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</si>
  <si>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</si>
  <si>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</si>
  <si>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</si>
  <si>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</si>
  <si>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</si>
  <si>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</si>
  <si>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</si>
  <si>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</si>
  <si>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</si>
  <si>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</si>
  <si>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</si>
  <si>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</si>
  <si>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</si>
  <si>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</si>
  <si>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</si>
  <si>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</si>
  <si>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</si>
  <si>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</si>
  <si>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</si>
  <si>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</si>
  <si>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</si>
  <si>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</si>
  <si>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</si>
  <si>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</si>
  <si>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</si>
  <si>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</si>
  <si>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</si>
  <si>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</si>
  <si>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</si>
  <si>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</si>
  <si>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</si>
  <si>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</si>
  <si>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</si>
  <si>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</si>
  <si>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</si>
  <si>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</si>
  <si>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</si>
  <si>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</si>
  <si>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</si>
  <si>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</si>
  <si>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</si>
  <si>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</si>
  <si>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</si>
  <si>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</si>
  <si>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</si>
  <si>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</si>
  <si>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</si>
  <si>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</si>
  <si>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</si>
  <si>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</si>
  <si>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</si>
  <si>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</si>
  <si>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</si>
  <si>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</si>
  <si>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</si>
  <si>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</si>
  <si>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</si>
  <si>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</si>
  <si>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</si>
  <si>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</si>
  <si>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</si>
  <si>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</si>
  <si>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</si>
  <si>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</si>
  <si>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</si>
  <si>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</si>
  <si>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</si>
  <si>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</si>
  <si>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</si>
  <si>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</si>
  <si>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</si>
  <si>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</si>
  <si>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</si>
  <si>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</si>
  <si>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</si>
  <si>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</si>
  <si>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</si>
  <si>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</si>
  <si>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</si>
  <si>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</si>
  <si>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</si>
  <si>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</si>
  <si>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</si>
  <si>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</si>
  <si>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</si>
  <si>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</si>
  <si>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</si>
  <si>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</si>
  <si>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</si>
  <si>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</si>
  <si>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</si>
  <si>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</si>
  <si>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</si>
  <si>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</si>
  <si>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</si>
  <si>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</si>
  <si>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</si>
  <si>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</si>
  <si>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</si>
  <si>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</si>
  <si>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</si>
  <si>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</si>
  <si>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</si>
  <si>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</si>
  <si>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</si>
  <si>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</si>
  <si>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</si>
  <si>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</si>
  <si>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</si>
  <si>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</si>
  <si>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</si>
  <si>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</si>
  <si>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</si>
  <si>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</si>
  <si>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</si>
  <si>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</si>
  <si>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</si>
  <si>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</si>
  <si>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</si>
  <si>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</si>
  <si>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</si>
  <si>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</si>
  <si>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</si>
  <si>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</si>
  <si>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</si>
  <si>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</si>
  <si>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</si>
  <si>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</si>
  <si>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</si>
  <si>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</si>
  <si>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</si>
  <si>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</si>
  <si>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</si>
  <si>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</si>
  <si>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</si>
  <si>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</si>
  <si>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</si>
  <si>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</si>
  <si>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</si>
  <si>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</si>
  <si>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</si>
  <si>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</si>
  <si>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</si>
  <si>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</si>
  <si>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</si>
  <si>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</si>
  <si>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</si>
  <si>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</si>
  <si>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</si>
  <si>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</si>
  <si>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</si>
  <si>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</si>
  <si>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</si>
  <si>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</si>
  <si>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</si>
  <si>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</si>
  <si>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</si>
  <si>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</si>
  <si>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</si>
  <si>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</si>
  <si>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</si>
  <si>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</si>
  <si>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</si>
  <si>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</si>
  <si>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</si>
  <si>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</si>
  <si>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</si>
  <si>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</si>
  <si>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</si>
  <si>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</si>
  <si>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</si>
  <si>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</si>
  <si>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</si>
  <si>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</si>
  <si>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</si>
  <si>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</si>
  <si>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</si>
  <si>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</si>
  <si>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</si>
  <si>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</si>
  <si>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</si>
  <si>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</si>
  <si>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</si>
  <si>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</si>
  <si>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</si>
  <si>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</si>
  <si>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</si>
  <si>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</si>
  <si>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</si>
  <si>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</si>
  <si>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</si>
  <si>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</si>
  <si>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</si>
  <si>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</si>
  <si>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</si>
  <si>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</si>
  <si>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</si>
  <si>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</si>
  <si>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</si>
  <si>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</si>
  <si>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</si>
  <si>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</si>
  <si>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</si>
  <si>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</si>
  <si>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</si>
  <si>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</si>
  <si>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</si>
  <si>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</si>
  <si>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</si>
  <si>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</si>
  <si>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</si>
  <si>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</si>
  <si>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</si>
  <si>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</si>
  <si>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</si>
  <si>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</si>
  <si>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</si>
  <si>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</si>
  <si>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</si>
  <si>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</si>
  <si>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</si>
  <si>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</si>
  <si>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</si>
  <si>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</si>
  <si>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</si>
  <si>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</si>
  <si>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</si>
  <si>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</si>
  <si>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</si>
  <si>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</si>
  <si>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</si>
  <si>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</si>
  <si>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</si>
  <si>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</si>
  <si>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</si>
  <si>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</si>
  <si>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</si>
  <si>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</si>
  <si>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</si>
  <si>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</si>
  <si>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</si>
  <si>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</si>
  <si>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</si>
  <si>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</si>
  <si>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</si>
  <si>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</si>
  <si>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</si>
  <si>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</si>
  <si>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</si>
  <si>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</si>
  <si>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</si>
  <si>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</si>
  <si>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</si>
  <si>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</si>
  <si>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</si>
  <si>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</si>
  <si>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</si>
  <si>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</si>
  <si>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</si>
  <si>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</si>
  <si>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</si>
  <si>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</si>
  <si>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</si>
  <si>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</si>
  <si>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</si>
  <si>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</si>
  <si>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</si>
  <si>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</si>
  <si>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</si>
  <si>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</si>
  <si>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</si>
  <si>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</si>
  <si>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</si>
  <si>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</si>
  <si>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</si>
  <si>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</si>
  <si>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</si>
  <si>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</si>
  <si>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</si>
  <si>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</si>
  <si>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</si>
  <si>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</si>
  <si>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</si>
  <si>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</si>
  <si>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</si>
  <si>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</si>
  <si>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</si>
  <si>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</si>
  <si>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</si>
  <si>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</si>
  <si>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</si>
  <si>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</si>
  <si>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</si>
  <si>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</si>
  <si>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</si>
  <si>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</si>
  <si>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</si>
  <si>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</si>
  <si>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</si>
  <si>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</si>
  <si>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</si>
  <si>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</si>
  <si>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</si>
  <si>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</si>
  <si>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</si>
  <si>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</si>
  <si>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</si>
  <si>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</si>
  <si>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</si>
  <si>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</si>
  <si>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</si>
  <si>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</si>
  <si>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</si>
  <si>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</si>
  <si>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</si>
  <si>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</si>
  <si>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</si>
  <si>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</si>
  <si>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</si>
  <si>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</si>
  <si>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</si>
  <si>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</si>
  <si>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</si>
  <si>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</si>
  <si>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</si>
  <si>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</si>
  <si>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</si>
  <si>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</si>
  <si>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</si>
  <si>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</si>
  <si>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</si>
  <si>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</si>
  <si>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</si>
  <si>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</si>
  <si>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</si>
  <si>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</si>
  <si>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</si>
  <si>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</si>
  <si>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</si>
  <si>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</si>
  <si>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</si>
  <si>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</si>
  <si>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</si>
  <si>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</si>
  <si>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</si>
  <si>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</si>
  <si>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</si>
  <si>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</si>
  <si>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</si>
  <si>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</si>
  <si>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</si>
  <si>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</si>
  <si>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</si>
  <si>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</si>
  <si>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</si>
  <si>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</si>
  <si>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</si>
  <si>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</si>
  <si>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</si>
  <si>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</si>
  <si>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</si>
  <si>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</si>
  <si>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</si>
  <si>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</si>
  <si>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</si>
  <si>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</si>
  <si>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</si>
  <si>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</si>
  <si>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</si>
  <si>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</si>
  <si>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</si>
  <si>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</si>
  <si>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</si>
  <si>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</si>
  <si>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</si>
  <si>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</si>
  <si>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</si>
  <si>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</si>
  <si>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</si>
  <si>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</si>
  <si>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</si>
  <si>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</si>
  <si>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</si>
  <si>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</si>
  <si>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</si>
  <si>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</si>
  <si>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</si>
  <si>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</si>
  <si>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</si>
  <si>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</si>
  <si>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</si>
  <si>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</si>
  <si>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</si>
  <si>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</si>
  <si>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</si>
  <si>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</si>
  <si>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</si>
  <si>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</si>
  <si>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</si>
  <si>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</si>
  <si>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</si>
  <si>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</si>
  <si>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</si>
  <si>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</si>
  <si>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</si>
  <si>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</si>
  <si>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</si>
  <si>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</si>
  <si>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</si>
  <si>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</si>
  <si>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</si>
  <si>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</si>
  <si>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</si>
  <si>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</si>
  <si>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</si>
  <si>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</si>
  <si>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</si>
  <si>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</si>
  <si>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</si>
  <si>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</si>
  <si>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</si>
  <si>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</si>
  <si>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</si>
  <si>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</si>
  <si>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</si>
  <si>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</si>
  <si>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</si>
  <si>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</si>
  <si>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</si>
  <si>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</si>
  <si>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</si>
  <si>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</si>
  <si>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</si>
  <si>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</si>
  <si>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</si>
  <si>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</si>
  <si>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</si>
  <si>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</si>
  <si>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</si>
  <si>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</si>
  <si>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</si>
  <si>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</si>
  <si>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</si>
  <si>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</si>
  <si>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</si>
  <si>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</si>
  <si>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</si>
  <si>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</si>
  <si>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</si>
  <si>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</si>
  <si>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</si>
  <si>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</si>
  <si>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</si>
  <si>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</si>
  <si>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</si>
  <si>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</si>
  <si>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</si>
  <si>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</si>
  <si>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</si>
  <si>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</si>
  <si>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</si>
  <si>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</si>
  <si>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</si>
  <si>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</si>
  <si>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</si>
  <si>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</si>
  <si>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</si>
  <si>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</si>
  <si>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</si>
  <si>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</si>
  <si>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</si>
  <si>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</si>
  <si>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</si>
  <si>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</si>
  <si>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</si>
  <si>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</si>
  <si>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</si>
  <si>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</si>
  <si>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</si>
  <si>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</si>
  <si>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</si>
  <si>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</si>
  <si>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</si>
  <si>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</si>
  <si>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</si>
  <si>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</si>
  <si>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</si>
  <si>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</si>
  <si>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</si>
  <si>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</si>
  <si>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</si>
  <si>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</si>
  <si>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</si>
  <si>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</si>
  <si>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</si>
  <si>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</si>
  <si>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</si>
  <si>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</si>
  <si>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</si>
  <si>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</si>
  <si>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</si>
  <si>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</si>
  <si>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</si>
  <si>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</si>
  <si>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</si>
  <si>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</si>
  <si>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</si>
  <si>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</si>
  <si>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</si>
  <si>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</si>
  <si>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</si>
  <si>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</si>
  <si>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</si>
  <si>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</si>
  <si>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</si>
  <si>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</si>
  <si>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</si>
  <si>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</si>
  <si>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</si>
  <si>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</si>
  <si>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</si>
  <si>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</si>
  <si>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</si>
  <si>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</si>
  <si>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</si>
  <si>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</si>
  <si>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</si>
  <si>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</si>
  <si>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</si>
  <si>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</si>
  <si>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</si>
  <si>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</si>
  <si>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</si>
  <si>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</si>
  <si>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</si>
  <si>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</si>
  <si>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</si>
  <si>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</si>
  <si>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</si>
  <si>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</si>
  <si>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</si>
  <si>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</si>
  <si>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</si>
  <si>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</si>
  <si>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</si>
  <si>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</si>
  <si>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</si>
  <si>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</si>
  <si>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</si>
  <si>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</si>
  <si>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</si>
  <si>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</si>
  <si>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</si>
  <si>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</si>
  <si>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</si>
  <si>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</si>
  <si>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</si>
  <si>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</si>
  <si>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</si>
  <si>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</si>
  <si>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</si>
  <si>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</si>
  <si>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</si>
  <si>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</si>
  <si>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</si>
  <si>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</si>
  <si>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</si>
  <si>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</si>
  <si>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</si>
  <si>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</si>
  <si>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</si>
  <si>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</si>
  <si>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</si>
  <si>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</si>
  <si>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</si>
  <si>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</si>
  <si>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</si>
  <si>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</si>
  <si>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</si>
  <si>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</si>
  <si>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</si>
  <si>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</si>
  <si>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</si>
  <si>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</si>
  <si>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</si>
  <si>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</si>
  <si>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</si>
  <si>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</si>
  <si>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</si>
  <si>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</si>
  <si>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</si>
  <si>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</si>
  <si>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</si>
  <si>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</si>
  <si>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</si>
  <si>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</si>
  <si>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</si>
  <si>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</si>
  <si>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</si>
  <si>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</si>
  <si>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</si>
  <si>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</si>
  <si>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</si>
  <si>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</si>
  <si>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</si>
  <si>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</si>
  <si>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</si>
  <si>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</si>
  <si>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</si>
  <si>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</si>
  <si>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</si>
  <si>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</si>
  <si>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</si>
  <si>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</si>
  <si>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</si>
  <si>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</si>
  <si>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</si>
  <si>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</si>
  <si>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</si>
  <si>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</si>
  <si>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</si>
  <si>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</si>
  <si>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</si>
  <si>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</si>
  <si>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</si>
  <si>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</si>
  <si>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</si>
  <si>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</si>
  <si>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</si>
  <si>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</si>
  <si>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</si>
  <si>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</si>
  <si>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</si>
  <si>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</si>
  <si>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</si>
  <si>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</si>
  <si>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</si>
  <si>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</si>
  <si>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</si>
  <si>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</si>
  <si>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</si>
  <si>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</si>
  <si>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</si>
  <si>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</si>
  <si>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</si>
  <si>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</si>
  <si>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</si>
  <si>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</si>
  <si>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</si>
  <si>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</si>
  <si>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</si>
  <si>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</si>
  <si>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</si>
  <si>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</si>
  <si>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</si>
  <si>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</si>
  <si>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</si>
  <si>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</si>
  <si>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</si>
  <si>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</si>
  <si>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</si>
  <si>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</si>
  <si>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</si>
  <si>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</si>
  <si>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</si>
  <si>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</si>
  <si>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</si>
  <si>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</si>
  <si>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</si>
  <si>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</si>
  <si>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</si>
  <si>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</si>
  <si>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</si>
  <si>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</si>
  <si>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</si>
  <si>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</si>
  <si>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</si>
  <si>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</si>
  <si>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</si>
  <si>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</si>
  <si>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</si>
  <si>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</si>
  <si>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</si>
  <si>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</si>
  <si>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</si>
  <si>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</si>
  <si>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</si>
  <si>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</si>
  <si>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</si>
  <si>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</si>
  <si>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</si>
  <si>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</si>
  <si>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</si>
  <si>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</si>
  <si>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</si>
  <si>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</si>
  <si>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</si>
  <si>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</si>
  <si>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</si>
  <si>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</si>
  <si>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</si>
  <si>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</si>
  <si>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</si>
  <si>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</si>
  <si>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</si>
  <si>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</si>
  <si>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</si>
  <si>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</si>
  <si>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</si>
  <si>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</si>
  <si>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</si>
  <si>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</si>
  <si>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</si>
  <si>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</si>
  <si>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</si>
  <si>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</si>
  <si>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</si>
  <si>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</si>
  <si>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</si>
  <si>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</si>
  <si>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</si>
  <si>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</si>
  <si>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</si>
  <si>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</si>
  <si>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</si>
  <si>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</si>
  <si>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</si>
  <si>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</si>
  <si>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</si>
  <si>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</si>
  <si>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</si>
  <si>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</si>
  <si>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</si>
  <si>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</si>
  <si>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</si>
  <si>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</si>
  <si>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</si>
  <si>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</si>
  <si>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</si>
  <si>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</si>
  <si>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</si>
  <si>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</si>
  <si>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</si>
  <si>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</si>
  <si>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</si>
  <si>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</si>
  <si>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</si>
  <si>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</si>
  <si>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</si>
  <si>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</si>
  <si>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</si>
  <si>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</si>
  <si>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</si>
  <si>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</si>
  <si>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</si>
  <si>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</si>
  <si>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</si>
  <si>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</si>
  <si>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</si>
  <si>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</si>
  <si>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</si>
  <si>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</si>
  <si>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</si>
  <si>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</si>
  <si>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</si>
  <si>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</si>
  <si>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</si>
  <si>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</si>
  <si>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</si>
  <si>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</si>
  <si>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</si>
  <si>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</si>
  <si>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</si>
  <si>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</si>
  <si>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</si>
  <si>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</si>
  <si>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</si>
  <si>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</si>
  <si>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</si>
  <si>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</si>
  <si>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</si>
  <si>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</si>
  <si>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</si>
  <si>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</si>
  <si>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</si>
  <si>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</si>
  <si>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</si>
  <si>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</si>
  <si>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</si>
  <si>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</si>
  <si>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</si>
  <si>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</si>
  <si>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</si>
  <si>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</si>
  <si>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</si>
  <si>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</si>
  <si>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</si>
  <si>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</si>
  <si>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</si>
  <si>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</si>
  <si>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</si>
  <si>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</si>
  <si>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</si>
  <si>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</si>
  <si>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</si>
  <si>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</si>
  <si>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</si>
  <si>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</si>
  <si>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</si>
  <si>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</si>
  <si>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</si>
  <si>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</si>
  <si>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</si>
  <si>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</si>
  <si>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</si>
  <si>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</si>
  <si>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</si>
  <si>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</si>
  <si>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</si>
  <si>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</si>
  <si>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</si>
  <si>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</si>
  <si>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</si>
  <si>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</si>
  <si>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</si>
  <si>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</si>
  <si>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</si>
  <si>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</si>
  <si>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</si>
  <si>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</si>
  <si>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</si>
  <si>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</si>
  <si>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</si>
  <si>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</si>
  <si>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</si>
  <si>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</si>
  <si>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</si>
  <si>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</si>
  <si>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</si>
  <si>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</si>
  <si>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</si>
  <si>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</si>
  <si>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</si>
  <si>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</si>
  <si>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</si>
  <si>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</si>
  <si>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</si>
  <si>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</si>
  <si>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</si>
  <si>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</si>
  <si>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</si>
  <si>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</si>
  <si>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</si>
  <si>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</si>
  <si>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</si>
  <si>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</si>
  <si>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</si>
  <si>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</si>
  <si>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</si>
  <si>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</si>
  <si>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</si>
  <si>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</si>
  <si>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</si>
  <si>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</si>
  <si>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</si>
  <si>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</si>
  <si>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</si>
  <si>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</si>
  <si>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</si>
  <si>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</si>
  <si>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</si>
  <si>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</si>
  <si>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</si>
  <si>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</si>
  <si>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</si>
  <si>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</si>
  <si>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</si>
  <si>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</si>
  <si>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</si>
  <si>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</si>
  <si>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</si>
  <si>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</si>
  <si>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</si>
  <si>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</si>
  <si>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</si>
  <si>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</si>
  <si>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</si>
  <si>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</si>
  <si>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</si>
  <si>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</si>
  <si>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</si>
  <si>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</si>
  <si>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</si>
  <si>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</si>
  <si>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</si>
  <si>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</si>
  <si>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</si>
  <si>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</si>
  <si>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</si>
  <si>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</si>
  <si>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</si>
  <si>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</si>
  <si>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</si>
  <si>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</si>
  <si>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</si>
  <si>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</si>
  <si>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</si>
  <si>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</si>
  <si>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</si>
  <si>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</si>
  <si>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</si>
  <si>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</si>
  <si>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</si>
  <si>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</si>
  <si>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</si>
  <si>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</si>
  <si>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</si>
  <si>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</si>
  <si>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</si>
  <si>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</si>
  <si>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</si>
  <si>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</si>
  <si>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</si>
  <si>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</si>
  <si>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</si>
  <si>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</si>
  <si>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</si>
  <si>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</si>
  <si>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</si>
  <si>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</si>
  <si>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</si>
  <si>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</si>
  <si>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</si>
  <si>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</si>
  <si>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</si>
  <si>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</si>
  <si>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</si>
  <si>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</si>
  <si>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</si>
  <si>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</si>
  <si>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</si>
  <si>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</si>
  <si>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</si>
  <si>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</si>
  <si>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</si>
  <si>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</si>
  <si>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</si>
  <si>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</si>
  <si>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</si>
  <si>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</si>
  <si>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</si>
  <si>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</si>
  <si>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</si>
  <si>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</si>
  <si>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</si>
  <si>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</si>
  <si>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</si>
  <si>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</si>
  <si>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</si>
  <si>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</si>
  <si>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</si>
  <si>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</si>
  <si>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</si>
  <si>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</si>
  <si>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</si>
  <si>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</si>
  <si>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</si>
  <si>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</si>
  <si>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</si>
  <si>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</si>
  <si>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</si>
  <si>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</si>
  <si>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</si>
  <si>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</si>
  <si>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</si>
  <si>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</si>
  <si>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</si>
  <si>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</si>
  <si>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</si>
  <si>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</si>
  <si>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</si>
  <si>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</si>
  <si>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</si>
  <si>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</si>
  <si>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</si>
  <si>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</si>
  <si>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</si>
  <si>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</si>
  <si>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</si>
  <si>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</si>
  <si>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</si>
  <si>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</si>
  <si>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</si>
  <si>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</si>
  <si>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</si>
  <si>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</si>
  <si>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</si>
  <si>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</si>
  <si>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</si>
  <si>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</si>
  <si>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</si>
  <si>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</si>
  <si>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</si>
  <si>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</si>
  <si>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</si>
  <si>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</si>
  <si>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</si>
  <si>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</si>
  <si>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</si>
  <si>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</si>
  <si>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</si>
  <si>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</si>
  <si>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</si>
  <si>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</si>
  <si>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</si>
  <si>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</si>
  <si>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</si>
  <si>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</si>
  <si>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</si>
  <si>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</si>
  <si>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</si>
  <si>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</si>
  <si>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</si>
  <si>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</si>
  <si>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</si>
  <si>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</si>
  <si>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</si>
  <si>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</si>
  <si>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</si>
  <si>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</si>
  <si>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</si>
  <si>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</si>
  <si>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</si>
  <si>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</si>
  <si>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</si>
  <si>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</si>
  <si>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</si>
  <si>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</si>
  <si>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</si>
  <si>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</si>
  <si>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</si>
  <si>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</si>
  <si>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</si>
  <si>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</si>
  <si>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</si>
  <si>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</si>
  <si>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</si>
  <si>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</si>
  <si>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</si>
  <si>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</si>
  <si>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</si>
  <si>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</si>
  <si>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</si>
  <si>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</si>
  <si>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</si>
  <si>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</si>
  <si>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</si>
  <si>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</si>
  <si>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</si>
  <si>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</si>
  <si>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</si>
  <si>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</si>
  <si>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</si>
  <si>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</si>
  <si>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</si>
  <si>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</si>
  <si>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</si>
  <si>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</si>
  <si>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</si>
  <si>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</si>
  <si>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</si>
  <si>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</si>
  <si>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</si>
  <si>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</si>
  <si>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</si>
  <si>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</si>
  <si>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</si>
  <si>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</si>
  <si>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</si>
  <si>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</si>
  <si>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</si>
  <si>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</si>
  <si>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</si>
  <si>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</si>
  <si>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</si>
  <si>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</si>
  <si>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</si>
  <si>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</si>
  <si>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</si>
  <si>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</si>
  <si>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</si>
  <si>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</si>
  <si>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</si>
  <si>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</si>
  <si>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</si>
  <si>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</si>
  <si>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</si>
  <si>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</si>
  <si>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</si>
  <si>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</si>
  <si>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</si>
  <si>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</si>
  <si>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</si>
  <si>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</si>
  <si>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</si>
  <si>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</si>
  <si>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</si>
  <si>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</si>
  <si>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</si>
  <si>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</si>
  <si>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</si>
  <si>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</si>
  <si>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</si>
  <si>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</si>
  <si>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</si>
  <si>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</si>
  <si>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</si>
  <si>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</si>
  <si>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</si>
  <si>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</si>
  <si>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</si>
  <si>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</si>
  <si>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</si>
  <si>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</si>
  <si>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</si>
  <si>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</si>
  <si>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</si>
  <si>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</si>
  <si>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</si>
  <si>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</si>
  <si>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</si>
  <si>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</si>
  <si>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</si>
  <si>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</si>
  <si>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</si>
  <si>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</si>
  <si>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</si>
  <si>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</si>
  <si>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</si>
  <si>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</si>
  <si>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</si>
  <si>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</si>
  <si>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</si>
  <si>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</si>
  <si>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</si>
  <si>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</si>
  <si>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</si>
  <si>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</si>
  <si>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</si>
  <si>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</si>
  <si>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</si>
  <si>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</si>
  <si>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</si>
  <si>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</si>
  <si>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</si>
  <si>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</si>
  <si>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</si>
  <si>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</si>
  <si>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</si>
  <si>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</si>
  <si>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</si>
  <si>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</si>
  <si>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</si>
  <si>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</si>
  <si>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</si>
  <si>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</si>
  <si>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</si>
  <si>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</si>
  <si>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</si>
  <si>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</si>
  <si>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</si>
  <si>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</si>
  <si>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</si>
  <si>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</si>
  <si>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</si>
  <si>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</si>
  <si>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</si>
  <si>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</si>
  <si>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</si>
  <si>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</si>
  <si>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</si>
  <si>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</si>
  <si>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</si>
  <si>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</si>
  <si>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</si>
  <si>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</si>
  <si>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</si>
  <si>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</si>
  <si>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</si>
  <si>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</si>
  <si>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</si>
  <si>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</si>
  <si>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</si>
  <si>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</si>
  <si>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</si>
  <si>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</si>
  <si>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</si>
  <si>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</si>
  <si>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</si>
  <si>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</si>
  <si>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</si>
  <si>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</si>
  <si>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</si>
  <si>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</si>
  <si>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</si>
  <si>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</si>
  <si>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</si>
  <si>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</si>
  <si>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</si>
  <si>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</si>
  <si>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</si>
  <si>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</si>
  <si>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</si>
  <si>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</si>
  <si>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</si>
  <si>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</si>
  <si>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</si>
  <si>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</si>
  <si>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</si>
  <si>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</si>
  <si>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</si>
  <si>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</si>
  <si>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</si>
  <si>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</si>
  <si>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</si>
  <si>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</si>
  <si>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</si>
  <si>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</si>
  <si>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</si>
  <si>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</si>
  <si>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</si>
  <si>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</si>
  <si>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</si>
  <si>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</si>
  <si>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</si>
  <si>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</si>
  <si>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</si>
  <si>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</si>
  <si>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</si>
  <si>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</si>
  <si>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</si>
  <si>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</si>
  <si>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</si>
  <si>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</si>
  <si>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</si>
  <si>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</si>
  <si>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</si>
  <si>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</si>
  <si>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</si>
  <si>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</si>
  <si>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</si>
  <si>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</si>
  <si>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</si>
  <si>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</si>
  <si>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</si>
  <si>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</si>
  <si>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</si>
  <si>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</si>
  <si>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</si>
  <si>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</si>
  <si>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</si>
  <si>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</si>
  <si>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</si>
  <si>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</si>
  <si>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</si>
  <si>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</si>
  <si>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</si>
  <si>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</si>
  <si>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</si>
  <si>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</si>
  <si>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</si>
  <si>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</si>
  <si>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</si>
  <si>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</si>
  <si>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</si>
  <si>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</si>
  <si>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</si>
  <si>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</si>
  <si>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</si>
  <si>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</si>
  <si>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</si>
  <si>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</si>
  <si>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</si>
  <si>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</si>
  <si>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</si>
  <si>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</si>
  <si>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</si>
  <si>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</si>
  <si>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</si>
  <si>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</si>
  <si>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</si>
  <si>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</si>
  <si>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</si>
  <si>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</si>
  <si>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</si>
  <si>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</si>
  <si>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</si>
  <si>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</si>
  <si>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</si>
  <si>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</si>
  <si>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</si>
  <si>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</si>
  <si>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</si>
  <si>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</si>
  <si>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</si>
  <si>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</si>
  <si>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</si>
  <si>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</si>
  <si>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</si>
  <si>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</si>
  <si>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</si>
  <si>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</si>
  <si>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</si>
  <si>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</si>
  <si>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</si>
  <si>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</si>
  <si>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</si>
  <si>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</si>
  <si>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</si>
  <si>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</si>
  <si>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</si>
  <si>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</si>
  <si>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</si>
  <si>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</si>
  <si>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</si>
  <si>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</si>
  <si>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</si>
  <si>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</si>
  <si>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</si>
  <si>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</si>
  <si>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</si>
  <si>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</si>
  <si>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</si>
  <si>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</si>
  <si>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</si>
  <si>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</si>
  <si>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</si>
  <si>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</si>
  <si>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</si>
  <si>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</si>
  <si>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</si>
  <si>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</si>
  <si>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</si>
  <si>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</si>
  <si>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</si>
  <si>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</si>
  <si>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</si>
  <si>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</si>
  <si>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</si>
  <si>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</si>
  <si>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</si>
  <si>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</si>
  <si>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</si>
  <si>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</si>
  <si>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</si>
  <si>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</si>
  <si>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</si>
  <si>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</si>
  <si>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</si>
  <si>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</si>
  <si>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</si>
  <si>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</si>
  <si>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</si>
  <si>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</si>
  <si>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</si>
  <si>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</si>
  <si>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</si>
  <si>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</si>
  <si>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</si>
  <si>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</si>
  <si>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</si>
  <si>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</si>
  <si>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</si>
  <si>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</si>
  <si>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</si>
  <si>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</si>
  <si>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</si>
  <si>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</si>
  <si>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</si>
  <si>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</si>
  <si>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</si>
  <si>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</si>
  <si>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</si>
  <si>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</si>
  <si>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</si>
  <si>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</si>
  <si>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</si>
  <si>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</si>
  <si>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</si>
  <si>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</si>
  <si>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</si>
  <si>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</si>
  <si>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</si>
  <si>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</si>
  <si>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</si>
  <si>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</si>
  <si>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</si>
  <si>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</si>
  <si>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</si>
  <si>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</si>
  <si>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</si>
  <si>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</si>
  <si>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</si>
  <si>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</si>
  <si>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</si>
  <si>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</si>
  <si>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</si>
  <si>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</si>
  <si>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</si>
  <si>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</si>
  <si>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</si>
  <si>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</si>
  <si>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</si>
  <si>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</si>
  <si>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</si>
  <si>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</si>
  <si>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</si>
  <si>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</si>
  <si>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</si>
  <si>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</si>
  <si>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</si>
  <si>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</si>
  <si>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</si>
  <si>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</si>
  <si>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</si>
  <si>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</si>
  <si>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</si>
  <si>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</si>
  <si>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</si>
  <si>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</si>
  <si>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</si>
  <si>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</si>
  <si>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</si>
  <si>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</si>
  <si>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</si>
  <si>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</si>
  <si>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</si>
  <si>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</si>
  <si>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</si>
  <si>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</si>
  <si>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</si>
  <si>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</si>
  <si>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</si>
  <si>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</si>
  <si>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</si>
  <si>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</si>
  <si>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</si>
  <si>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</si>
  <si>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</si>
  <si>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</si>
  <si>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</si>
  <si>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</si>
  <si>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</si>
  <si>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</si>
  <si>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</si>
  <si>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</si>
  <si>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</si>
  <si>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</si>
  <si>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</si>
  <si>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</si>
  <si>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</si>
  <si>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</si>
  <si>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</si>
  <si>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</si>
  <si>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</si>
  <si>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</si>
  <si>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</si>
  <si>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</si>
  <si>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</si>
  <si>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</si>
  <si>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</si>
  <si>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</si>
  <si>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</si>
  <si>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</si>
  <si>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</si>
  <si>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</si>
  <si>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</si>
  <si>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</si>
  <si>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</si>
  <si>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</si>
  <si>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</si>
  <si>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</si>
  <si>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</si>
  <si>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</si>
  <si>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</si>
  <si>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</si>
  <si>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</si>
  <si>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</si>
  <si>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</si>
  <si>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</si>
  <si>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</si>
  <si>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</si>
  <si>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</si>
  <si>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</si>
  <si>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</si>
  <si>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</si>
  <si>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</si>
  <si>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</si>
  <si>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</si>
  <si>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</si>
  <si>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</si>
  <si>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</si>
  <si>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</si>
  <si>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</si>
  <si>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</si>
  <si>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</si>
  <si>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</si>
  <si>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</si>
  <si>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</si>
  <si>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</si>
  <si>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</si>
  <si>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</si>
  <si>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</si>
  <si>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</si>
  <si>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</si>
  <si>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</si>
  <si>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</si>
  <si>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</si>
  <si>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</si>
  <si>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</si>
  <si>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</si>
  <si>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</si>
  <si>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</si>
  <si>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</si>
  <si>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</si>
  <si>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</si>
  <si>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</si>
  <si>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</si>
  <si>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</si>
  <si>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</si>
  <si>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</si>
  <si>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</si>
  <si>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</si>
  <si>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</si>
  <si>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</si>
  <si>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</si>
  <si>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</si>
  <si>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</si>
  <si>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</si>
  <si>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</si>
  <si>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</si>
  <si>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</si>
  <si>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</si>
  <si>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</si>
  <si>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</si>
  <si>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</si>
  <si>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</si>
  <si>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</si>
  <si>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</si>
  <si>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</si>
  <si>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</si>
  <si>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</si>
  <si>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</si>
  <si>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</si>
  <si>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</si>
  <si>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</si>
  <si>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</si>
  <si>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</si>
  <si>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</si>
  <si>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</si>
  <si>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</si>
  <si>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</si>
  <si>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</si>
  <si>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</si>
  <si>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</si>
  <si>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</si>
  <si>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</si>
  <si>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</si>
  <si>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</si>
  <si>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</si>
  <si>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</si>
  <si>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</si>
  <si>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</si>
  <si>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</si>
  <si>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</si>
  <si>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</si>
  <si>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</si>
  <si>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</si>
  <si>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</si>
  <si>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</si>
  <si>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</si>
  <si>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</si>
  <si>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</si>
  <si>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</si>
  <si>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</si>
  <si>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</si>
  <si>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</si>
  <si>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</si>
  <si>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</si>
  <si>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</si>
  <si>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</si>
  <si>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</si>
  <si>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</si>
  <si>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</si>
  <si>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</si>
  <si>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</si>
  <si>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</si>
  <si>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</si>
  <si>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</si>
  <si>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</si>
  <si>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</si>
  <si>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</si>
  <si>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</si>
  <si>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</si>
  <si>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</si>
  <si>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</si>
  <si>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</si>
  <si>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</si>
  <si>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</si>
  <si>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</si>
  <si>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</si>
  <si>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</si>
  <si>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</si>
  <si>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</si>
  <si>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</si>
  <si>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</si>
  <si>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</si>
  <si>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</si>
  <si>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</si>
  <si>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</si>
  <si>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</si>
  <si>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</si>
  <si>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</si>
  <si>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</si>
  <si>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</si>
  <si>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</si>
  <si>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</si>
  <si>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</si>
  <si>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</si>
  <si>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</si>
  <si>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</si>
  <si>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</si>
  <si>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</si>
  <si>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</si>
  <si>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</si>
  <si>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</si>
  <si>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</si>
  <si>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</si>
  <si>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</si>
  <si>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</si>
  <si>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</si>
  <si>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</si>
  <si>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</si>
  <si>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</si>
  <si>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</si>
  <si>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</si>
  <si>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</si>
  <si>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</si>
  <si>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</si>
  <si>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</si>
  <si>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</si>
  <si>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</si>
  <si>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</si>
  <si>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</si>
  <si>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</si>
  <si>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</si>
  <si>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</si>
  <si>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</si>
  <si>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</si>
  <si>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</si>
  <si>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</si>
  <si>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</si>
  <si>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</si>
  <si>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</si>
  <si>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</si>
  <si>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</si>
  <si>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</si>
  <si>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</si>
  <si>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</si>
  <si>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</si>
  <si>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</si>
  <si>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</si>
  <si>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</si>
  <si>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</si>
  <si>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</si>
  <si>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</si>
  <si>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</si>
  <si>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</si>
  <si>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</si>
  <si>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</si>
  <si>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</si>
  <si>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</si>
  <si>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</si>
  <si>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</si>
  <si>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</si>
  <si>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</si>
  <si>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</si>
  <si>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</si>
  <si>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</si>
  <si>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</si>
  <si>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</si>
  <si>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</si>
  <si>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</si>
  <si>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</si>
  <si>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</si>
  <si>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</si>
  <si>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</si>
  <si>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</si>
  <si>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</si>
  <si>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</si>
  <si>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</si>
  <si>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</si>
  <si>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</si>
  <si>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</si>
  <si>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</si>
  <si>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</si>
  <si>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</si>
  <si>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</si>
  <si>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</si>
  <si>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</si>
  <si>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</si>
  <si>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</si>
  <si>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</si>
  <si>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</si>
  <si>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</si>
  <si>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</si>
  <si>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</si>
  <si>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</si>
  <si>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</si>
  <si>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</si>
  <si>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</si>
  <si>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</si>
  <si>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</si>
  <si>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</si>
  <si>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</si>
  <si>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</si>
  <si>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</si>
  <si>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</si>
  <si>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</si>
  <si>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</si>
  <si>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</si>
  <si>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</si>
  <si>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</si>
  <si>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</si>
  <si>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</si>
  <si>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</si>
  <si>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</si>
  <si>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</si>
  <si>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</si>
  <si>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</si>
  <si>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</si>
  <si>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</si>
  <si>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</si>
  <si>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</si>
  <si>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</si>
  <si>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</si>
  <si>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</si>
  <si>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</si>
  <si>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</si>
  <si>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</si>
  <si>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</si>
  <si>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</si>
  <si>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</si>
  <si>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</si>
  <si>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</si>
  <si>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</si>
  <si>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</si>
  <si>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</si>
  <si>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</si>
  <si>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</si>
  <si>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</si>
  <si>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</si>
  <si>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</si>
  <si>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</si>
  <si>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</si>
  <si>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</si>
  <si>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</si>
  <si>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</si>
  <si>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</si>
  <si>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</si>
  <si>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</si>
  <si>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</si>
  <si>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</si>
  <si>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</si>
  <si>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</si>
  <si>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</si>
  <si>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</si>
  <si>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</si>
  <si>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</si>
  <si>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</si>
  <si>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</si>
  <si>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</si>
  <si>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</si>
  <si>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</si>
  <si>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</si>
  <si>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</si>
  <si>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</si>
  <si>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</si>
  <si>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</si>
  <si>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</si>
  <si>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</si>
  <si>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</si>
  <si>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</si>
  <si>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</si>
  <si>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</si>
  <si>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</si>
  <si>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</si>
  <si>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</si>
  <si>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</si>
  <si>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</si>
  <si>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</si>
  <si>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</si>
  <si>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</si>
  <si>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</si>
  <si>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</si>
  <si>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</si>
  <si>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</si>
  <si>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</si>
  <si>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</si>
  <si>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</si>
  <si>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</si>
  <si>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</si>
  <si>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</si>
  <si>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</si>
  <si>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</si>
  <si>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</si>
  <si>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</si>
  <si>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</si>
  <si>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</si>
  <si>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</si>
  <si>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</si>
  <si>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</si>
  <si>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</si>
  <si>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</si>
  <si>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</si>
  <si>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</si>
  <si>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</si>
  <si>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</si>
  <si>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</si>
  <si>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</si>
  <si>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</si>
  <si>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</si>
  <si>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</si>
  <si>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</si>
  <si>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</si>
  <si>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</si>
  <si>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</si>
  <si>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</si>
  <si>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</si>
  <si>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</si>
  <si>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</si>
  <si>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</si>
  <si>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</si>
  <si>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</si>
  <si>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</si>
  <si>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</si>
  <si>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</si>
  <si>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</si>
  <si>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</si>
  <si>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</si>
  <si>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</si>
  <si>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</si>
  <si>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</si>
  <si>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</si>
  <si>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</si>
  <si>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</si>
  <si>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</si>
  <si>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</si>
  <si>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</si>
  <si>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</si>
  <si>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</si>
  <si>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</si>
  <si>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</si>
  <si>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</si>
  <si>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</si>
  <si>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</si>
  <si>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</si>
  <si>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</si>
  <si>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</si>
  <si>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</si>
  <si>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</si>
  <si>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</si>
  <si>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</si>
  <si>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</si>
  <si>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</si>
  <si>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</si>
  <si>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</si>
  <si>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</si>
  <si>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</si>
  <si>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</si>
  <si>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</si>
  <si>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</si>
  <si>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</si>
  <si>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</si>
  <si>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</si>
  <si>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</si>
  <si>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</si>
  <si>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</si>
  <si>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</si>
  <si>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</si>
  <si>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</si>
  <si>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</si>
  <si>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</si>
  <si>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</si>
  <si>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</si>
  <si>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</si>
  <si>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</si>
  <si>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</si>
  <si>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</si>
  <si>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</si>
  <si>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</si>
  <si>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</si>
  <si>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</si>
  <si>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</si>
  <si>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</si>
  <si>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</si>
  <si>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</si>
  <si>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</si>
  <si>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</si>
  <si>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</si>
  <si>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</si>
  <si>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</si>
  <si>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</si>
  <si>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</si>
  <si>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</si>
  <si>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</si>
  <si>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</si>
  <si>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</si>
  <si>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</si>
  <si>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</si>
  <si>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</si>
  <si>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</si>
  <si>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</si>
  <si>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</si>
  <si>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</si>
  <si>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</si>
  <si>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</si>
  <si>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</si>
  <si>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</si>
  <si>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</si>
  <si>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</si>
  <si>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</si>
  <si>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</si>
  <si>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</si>
  <si>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</si>
  <si>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</si>
  <si>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</si>
  <si>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</si>
  <si>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</si>
  <si>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</si>
  <si>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</si>
  <si>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</si>
  <si>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</si>
  <si>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</si>
  <si>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</si>
  <si>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</si>
  <si>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</si>
  <si>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</si>
  <si>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</si>
  <si>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</si>
  <si>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</si>
  <si>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</si>
  <si>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</si>
  <si>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</si>
  <si>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</si>
  <si>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</si>
  <si>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</si>
  <si>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</si>
  <si>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</si>
  <si>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</si>
  <si>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</si>
  <si>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</si>
  <si>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</si>
  <si>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</si>
  <si>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</si>
  <si>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</si>
  <si>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</si>
  <si>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</si>
  <si>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</si>
  <si>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</si>
  <si>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</si>
  <si>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</si>
  <si>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</si>
  <si>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</si>
  <si>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</si>
  <si>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</si>
  <si>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</si>
  <si>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</si>
  <si>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</si>
  <si>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</si>
  <si>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</si>
  <si>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</si>
  <si>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</si>
  <si>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</si>
  <si>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</si>
  <si>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</si>
  <si>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</si>
  <si>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</si>
  <si>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</si>
  <si>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</si>
  <si>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</si>
  <si>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</si>
  <si>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</si>
  <si>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</si>
  <si>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</si>
  <si>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</si>
  <si>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</si>
  <si>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</si>
  <si>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</si>
  <si>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</si>
  <si>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</si>
  <si>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</si>
  <si>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</si>
  <si>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</si>
  <si>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</si>
  <si>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</si>
  <si>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</si>
  <si>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</si>
  <si>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</si>
  <si>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</si>
  <si>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</si>
  <si>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</si>
  <si>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</si>
  <si>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</si>
  <si>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</si>
  <si>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</si>
  <si>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</si>
  <si>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</si>
  <si>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</si>
  <si>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</si>
  <si>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</si>
  <si>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</si>
  <si>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</si>
  <si>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</si>
  <si>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</si>
  <si>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</si>
  <si>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</si>
  <si>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</si>
  <si>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</si>
  <si>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</si>
  <si>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</si>
  <si>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</si>
  <si>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</si>
  <si>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</si>
  <si>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</si>
  <si>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</si>
  <si>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</si>
  <si>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</si>
  <si>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</si>
  <si>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</si>
  <si>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</si>
  <si>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</si>
  <si>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</si>
  <si>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</si>
  <si>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</si>
  <si>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</si>
  <si>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</si>
  <si>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</si>
  <si>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</si>
  <si>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</si>
  <si>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</si>
  <si>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</si>
  <si>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</si>
  <si>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</si>
  <si>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</si>
  <si>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</si>
  <si>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</si>
  <si>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</si>
  <si>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</si>
  <si>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</si>
  <si>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</si>
  <si>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</si>
  <si>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</si>
  <si>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</si>
  <si>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</si>
  <si>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</si>
  <si>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</si>
  <si>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</si>
  <si>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</si>
  <si>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</si>
  <si>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</si>
  <si>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</si>
  <si>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</si>
  <si>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</si>
  <si>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</si>
  <si>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</si>
  <si>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</si>
  <si>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</si>
  <si>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</si>
  <si>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</si>
  <si>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</si>
  <si>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</si>
  <si>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</si>
  <si>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</si>
  <si>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</si>
  <si>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</si>
  <si>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</si>
  <si>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</si>
  <si>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</si>
  <si>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</si>
  <si>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</si>
  <si>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</si>
  <si>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</si>
  <si>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</si>
  <si>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</si>
  <si>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</si>
  <si>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</si>
  <si>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</si>
  <si>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</si>
  <si>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</si>
  <si>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</si>
  <si>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</si>
  <si>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</si>
  <si>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</si>
  <si>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</si>
  <si>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</si>
  <si>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</si>
  <si>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</si>
  <si>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</si>
  <si>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</si>
  <si>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</si>
  <si>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</si>
  <si>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</si>
  <si>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</si>
  <si>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</si>
  <si>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</si>
  <si>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</si>
  <si>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</si>
  <si>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</si>
  <si>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</si>
  <si>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</si>
  <si>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</si>
  <si>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</si>
  <si>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</si>
  <si>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</si>
  <si>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</si>
  <si>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</si>
  <si>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</si>
  <si>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</si>
  <si>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</si>
  <si>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</si>
  <si>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</si>
  <si>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</si>
  <si>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</si>
  <si>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</si>
  <si>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</si>
  <si>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</si>
  <si>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</si>
  <si>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</si>
  <si>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</si>
  <si>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</si>
  <si>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</si>
  <si>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</si>
  <si>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</si>
  <si>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</si>
  <si>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</si>
  <si>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</si>
  <si>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</si>
  <si>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</si>
  <si>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</si>
  <si>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</si>
  <si>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</si>
  <si>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</si>
  <si>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</si>
  <si>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</si>
  <si>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</si>
  <si>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</si>
  <si>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</si>
  <si>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</si>
  <si>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</si>
  <si>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</si>
  <si>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</si>
  <si>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</si>
  <si>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</si>
  <si>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</si>
  <si>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</si>
  <si>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</si>
  <si>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</si>
  <si>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</si>
  <si>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</si>
  <si>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</si>
  <si>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</si>
  <si>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</si>
  <si>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</si>
  <si>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</si>
  <si>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</si>
  <si>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</si>
  <si>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</si>
  <si>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</si>
  <si>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</si>
  <si>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</si>
  <si>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</si>
  <si>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</si>
  <si>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</si>
  <si>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</si>
  <si>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</si>
  <si>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</si>
  <si>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</si>
  <si>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</si>
  <si>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</si>
  <si>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</si>
  <si>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</si>
  <si>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</si>
  <si>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</si>
  <si>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</si>
  <si>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</si>
  <si>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</si>
  <si>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</si>
  <si>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</si>
  <si>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</si>
  <si>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</si>
  <si>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</si>
  <si>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</si>
  <si>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</si>
  <si>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</si>
  <si>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</si>
  <si>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</si>
  <si>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</si>
  <si>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</si>
  <si>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</si>
  <si>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</si>
  <si>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</si>
  <si>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</si>
  <si>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</si>
  <si>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</si>
  <si>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</si>
  <si>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</si>
  <si>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</si>
  <si>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</si>
  <si>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</si>
  <si>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</si>
  <si>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</si>
  <si>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</si>
  <si>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</si>
  <si>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</si>
  <si>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</si>
  <si>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</si>
  <si>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</si>
  <si>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</si>
  <si>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</si>
  <si>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</si>
  <si>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</si>
  <si>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</si>
  <si>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</si>
  <si>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</si>
  <si>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</si>
  <si>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</si>
  <si>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</si>
  <si>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</si>
  <si>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</si>
  <si>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</si>
  <si>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</si>
  <si>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</si>
  <si>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</si>
  <si>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</si>
  <si>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</si>
  <si>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</si>
  <si>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</si>
  <si>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</si>
  <si>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</si>
  <si>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</si>
  <si>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</si>
  <si>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</si>
  <si>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</si>
  <si>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</si>
  <si>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</si>
  <si>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</si>
  <si>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</si>
  <si>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</si>
  <si>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</si>
  <si>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</si>
  <si>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</si>
  <si>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</si>
  <si>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</si>
  <si>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</si>
  <si>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</si>
  <si>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</si>
  <si>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</si>
  <si>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</si>
  <si>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</si>
  <si>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</si>
  <si>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</si>
  <si>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</si>
  <si>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</si>
  <si>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</si>
  <si>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</si>
  <si>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</si>
  <si>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</si>
  <si>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</si>
  <si>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</si>
  <si>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</si>
  <si>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</si>
  <si>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</si>
  <si>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</si>
  <si>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</si>
  <si>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</si>
  <si>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</si>
  <si>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</si>
  <si>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</si>
  <si>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</si>
  <si>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</si>
  <si>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</si>
  <si>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</si>
  <si>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</si>
  <si>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</si>
  <si>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</si>
  <si>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</si>
  <si>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</si>
  <si>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</si>
  <si>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</si>
  <si>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</si>
  <si>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</si>
  <si>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</si>
  <si>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</si>
  <si>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</si>
  <si>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</si>
  <si>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</si>
  <si>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</si>
  <si>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</si>
  <si>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</si>
  <si>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</si>
  <si>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</si>
  <si>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</si>
  <si>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</si>
  <si>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</si>
  <si>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</si>
  <si>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</si>
  <si>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</si>
  <si>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</si>
  <si>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</si>
  <si>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</si>
  <si>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</si>
  <si>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</si>
  <si>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</si>
  <si>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</si>
  <si>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</si>
  <si>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</si>
  <si>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</si>
  <si>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</si>
  <si>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</si>
  <si>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</si>
  <si>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</si>
  <si>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</si>
  <si>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</si>
  <si>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</si>
  <si>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</si>
  <si>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</si>
  <si>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</si>
  <si>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</si>
  <si>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</si>
  <si>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</si>
  <si>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</si>
  <si>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</si>
  <si>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</si>
  <si>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</si>
  <si>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</si>
  <si>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</si>
  <si>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</si>
  <si>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</si>
  <si>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</si>
  <si>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</si>
  <si>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</si>
  <si>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</si>
  <si>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</si>
  <si>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</si>
  <si>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</si>
  <si>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</si>
  <si>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</si>
  <si>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</si>
  <si>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</si>
  <si>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</si>
  <si>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</si>
  <si>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</si>
  <si>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</si>
  <si>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</si>
  <si>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</si>
  <si>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</si>
  <si>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</si>
  <si>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</si>
  <si>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</si>
  <si>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</si>
  <si>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</si>
  <si>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</si>
  <si>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</si>
  <si>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</si>
  <si>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</si>
  <si>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</si>
  <si>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</si>
  <si>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</si>
  <si>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</si>
  <si>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</si>
  <si>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</si>
  <si>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</si>
  <si>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</si>
  <si>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</si>
  <si>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</si>
  <si>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</si>
  <si>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</si>
  <si>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</si>
  <si>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</si>
  <si>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</si>
  <si>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</si>
  <si>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</si>
  <si>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</si>
  <si>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</si>
  <si>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</si>
  <si>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</si>
  <si>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</si>
  <si>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</si>
  <si>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</si>
  <si>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</si>
  <si>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</si>
  <si>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</si>
  <si>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</si>
  <si>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</si>
  <si>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</si>
  <si>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</si>
  <si>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</si>
  <si>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</si>
  <si>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</si>
  <si>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</si>
  <si>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DataCon Inc.</t>
  </si>
  <si>
    <t>08-852440</t>
  </si>
  <si>
    <t>DUNS</t>
  </si>
  <si>
    <t>10 Elizabeth Drive Unit #8, Chelmsford, MA 01824</t>
  </si>
  <si>
    <t>Dave Genchauski</t>
  </si>
  <si>
    <t>dave _genchauski@data-con.com</t>
  </si>
  <si>
    <t>781-273-5800 ext 294</t>
  </si>
  <si>
    <t>Quality Supply Program Manager</t>
  </si>
  <si>
    <t>Capacitors</t>
  </si>
  <si>
    <t>Solder</t>
  </si>
  <si>
    <t>PCB's, Component leads</t>
  </si>
  <si>
    <t>http://data-con.com/corporate-docs/</t>
  </si>
  <si>
    <t>dataCon doesnot not source basic materials.</t>
  </si>
  <si>
    <t>non-compliance can be cause to rmove supplier from the AVL</t>
  </si>
  <si>
    <t>dataCon files to our customers when requested.</t>
  </si>
  <si>
    <t>Exotech Inc.</t>
  </si>
  <si>
    <t>CID000456</t>
  </si>
  <si>
    <t>Pompano Beach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</si>
</sst>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data-con.com/corporate-doc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data-con.com/corporate-doc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11B557-3462-4717-BEB9-27B556FF6FB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953260B-BF45-43B3-A8B1-F4142B4F4A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G6" sqref="G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125" sqref="G1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15803</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15805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t="s">
        <v>15803</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15804</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15803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t="s">
        <v>15807</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15806</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15808</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t="s">
        <v>15809</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008DCC0-CC33-4342-B0F1-EA44C1A5E3FC}"/>
    <hyperlink ref="G83" r:id="rId4" xr:uid="{9F6BF4E4-D2E8-471E-9EF7-C897ADE43B0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G22" sqref="G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1127</v>
      </c>
      <c r="C5" s="186" t="s">
        <v>1029</v>
      </c>
      <c r="D5" s="230"/>
      <c r="E5" s="182" t="s">
        <v>1092</v>
      </c>
      <c r="F5" s="182" t="s">
        <v>753</v>
      </c>
      <c r="G5" s="182" t="s">
        <v>13240</v>
      </c>
      <c r="H5" s="183">
        <v>0</v>
      </c>
      <c r="I5" s="184" t="s">
        <v>1724</v>
      </c>
      <c r="J5" s="184" t="s">
        <v>1725</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BR-AM</v>
      </c>
      <c r="U5" s="201"/>
      <c r="V5" s="226">
        <f>IF(C5="",NA(),IF(OR(C5="Smelter not listed",C5="Smelter not yet identified"),MATCH($B5&amp;$D5,'Smelter Look-up'!$J:$J,0),MATCH($B5&amp;$C5,'Smelter Look-up'!$J:$J,0)))</f>
        <v>352</v>
      </c>
      <c r="X5" s="227">
        <f t="shared" ref="X5" si="1">IF(AND(C5="Smelter not listed",OR(LEN(D5)=0,LEN(E5)=0)),1,0)</f>
        <v>0</v>
      </c>
      <c r="AB5" s="228" t="str">
        <f t="shared" ref="AB5" si="2">B5&amp;C5</f>
        <v>TantalumMineração Taboca S.A.</v>
      </c>
    </row>
    <row r="6" spans="1:34" s="227" customFormat="1" ht="19.899999999999999" customHeight="1">
      <c r="A6" s="262"/>
      <c r="B6" s="182" t="s">
        <v>1127</v>
      </c>
      <c r="C6" s="186" t="s">
        <v>15810</v>
      </c>
      <c r="D6" s="230"/>
      <c r="E6" s="182" t="s">
        <v>2432</v>
      </c>
      <c r="F6" s="182" t="s">
        <v>15811</v>
      </c>
      <c r="G6" s="182" t="s">
        <v>13240</v>
      </c>
      <c r="H6" s="183">
        <v>0</v>
      </c>
      <c r="I6" s="184" t="s">
        <v>15812</v>
      </c>
      <c r="J6" s="184" t="s">
        <v>1696</v>
      </c>
      <c r="K6" s="224"/>
      <c r="L6" s="224"/>
      <c r="M6" s="224"/>
      <c r="N6" s="224"/>
      <c r="O6" s="224"/>
      <c r="P6" s="185"/>
      <c r="Q6" s="225"/>
      <c r="R6" s="182" t="str">
        <f ca="1">IF(ISERROR($V6),"",OFFSET('Smelter Look-up'!$C$4,$V6-4,0)&amp;"")</f>
        <v/>
      </c>
      <c r="S6" s="181" t="str">
        <f t="shared" ref="S6:S37" ca="1" si="3">IF(B6="","",IF(ISERROR(MATCH($E6,CL,0)),"Unknown",INDIRECT("'C'!$A$"&amp;MATCH($E6,CL,0)+1)))</f>
        <v>US</v>
      </c>
      <c r="T6" s="181" t="str">
        <f ca="1">IF(B6="","",IF(ISERROR(MATCH($J6,SorP!$B$1:$B$6279,0)),"",INDIRECT("'SorP'!$A$"&amp;MATCH($S6&amp;$J6,SorP!C:C,0))))</f>
        <v>US-FL</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TantalumExotech Inc.</v>
      </c>
    </row>
    <row r="7" spans="1:34" s="227" customFormat="1" ht="19.899999999999999" customHeight="1">
      <c r="A7" s="262"/>
      <c r="B7" s="182" t="s">
        <v>1127</v>
      </c>
      <c r="C7" s="186" t="s">
        <v>1413</v>
      </c>
      <c r="D7" s="230"/>
      <c r="E7" s="182" t="s">
        <v>2432</v>
      </c>
      <c r="F7" s="182" t="s">
        <v>1414</v>
      </c>
      <c r="G7" s="182" t="s">
        <v>13240</v>
      </c>
      <c r="H7" s="183">
        <v>0</v>
      </c>
      <c r="I7" s="184" t="s">
        <v>1751</v>
      </c>
      <c r="J7" s="184" t="s">
        <v>1625</v>
      </c>
      <c r="K7" s="224"/>
      <c r="L7" s="224"/>
      <c r="M7" s="224"/>
      <c r="N7" s="224"/>
      <c r="O7" s="224"/>
      <c r="P7" s="185"/>
      <c r="Q7" s="225"/>
      <c r="R7" s="182" t="str">
        <f ca="1">IF(ISERROR($V7),"",OFFSET('Smelter Look-up'!$C$4,$V7-4,0)&amp;"")</f>
        <v>Materion Newton Inc.</v>
      </c>
      <c r="S7" s="181" t="str">
        <f t="shared" ca="1" si="3"/>
        <v>US</v>
      </c>
      <c r="T7" s="181" t="str">
        <f ca="1">IF(B7="","",IF(ISERROR(MATCH($J7,SorP!$B$1:$B$6279,0)),"",INDIRECT("'SorP'!$A$"&amp;MATCH($S7&amp;$J7,SorP!C:C,0))))</f>
        <v>US-MA</v>
      </c>
      <c r="U7" s="201"/>
      <c r="V7" s="226">
        <f>IF(C7="",NA(),IF(OR(C7="Smelter not listed",C7="Smelter not yet identified"),MATCH($B7&amp;$D7,'Smelter Look-up'!$J:$J,0),MATCH($B7&amp;$C7,'Smelter Look-up'!$J:$J,0)))</f>
        <v>334</v>
      </c>
      <c r="X7" s="227">
        <f t="shared" si="4"/>
        <v>0</v>
      </c>
      <c r="AB7" s="228" t="str">
        <f t="shared" si="5"/>
        <v>TantalumH.C. Starck Inc.</v>
      </c>
    </row>
    <row r="8" spans="1:34" s="227" customFormat="1" ht="19.899999999999999" customHeight="1">
      <c r="A8" s="262"/>
      <c r="B8" s="182" t="s">
        <v>1125</v>
      </c>
      <c r="C8" s="186" t="s">
        <v>2284</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IF(C8="",NA(),IF(OR(C8="Smelter not listed",C8="Smelter not yet identified"),MATCH($B8&amp;$D8,'Smelter Look-up'!$J:$J,0),MATCH($B8&amp;$C8,'Smelter Look-up'!$J:$J,0)))</f>
        <v>28</v>
      </c>
      <c r="X8" s="227">
        <f t="shared" ca="1" si="4"/>
        <v>0</v>
      </c>
      <c r="AB8" s="228" t="str">
        <f t="shared" si="5"/>
        <v>GoldArgor-Heraeus S.A.</v>
      </c>
    </row>
    <row r="9" spans="1:34" s="227" customFormat="1" ht="19.899999999999999" customHeight="1">
      <c r="A9" s="262"/>
      <c r="B9" s="182" t="s">
        <v>1125</v>
      </c>
      <c r="C9" s="186" t="s">
        <v>1601</v>
      </c>
      <c r="D9" s="230"/>
      <c r="E9" s="182" t="str">
        <f ca="1">IF(ISERROR($V9),"",OFFSET('Smelter Look-up'!$D$4,$V9-4,0)&amp;"")</f>
        <v>UNITED STATES OF AMERICA</v>
      </c>
      <c r="F9" s="182" t="str">
        <f ca="1">IF(ISERROR($V9),"",OFFSET('Smelter Look-up'!$E$4,$V9-4,0))</f>
        <v>CID000920</v>
      </c>
      <c r="G9" s="182" t="str">
        <f ca="1">IF(C9=$X$4,IF(ISERROR($V9),"Enter smelter details","RMI"),IF(ISERROR($V9),"",OFFSET('Smelter Look-up'!$F$4,$V9-4,0)))</f>
        <v>RMI</v>
      </c>
      <c r="H9" s="183">
        <f ca="1">IF(ISERROR($V9),"",OFFSET('Smelter Look-up'!$G$4,$V9-4,0))</f>
        <v>0</v>
      </c>
      <c r="I9" s="184" t="str">
        <f ca="1">IF(ISERROR($V9),"",OFFSET('Smelter Look-up'!$H$4,$V9-4,0))</f>
        <v>Salt Lake City</v>
      </c>
      <c r="J9" s="184" t="str">
        <f ca="1">IF(ISERROR($V9),"",OFFSET('Smelter Look-up'!$I$4,$V9-4,0))</f>
        <v>Utah</v>
      </c>
      <c r="K9" s="224"/>
      <c r="L9" s="224"/>
      <c r="M9" s="224"/>
      <c r="N9" s="224"/>
      <c r="O9" s="224"/>
      <c r="P9" s="185"/>
      <c r="Q9" s="225"/>
      <c r="R9" s="182" t="str">
        <f ca="1">IF(ISERROR($V9),"",OFFSET('Smelter Look-up'!$C$4,$V9-4,0)&amp;"")</f>
        <v>Asahi Refining USA Inc.</v>
      </c>
      <c r="S9" s="181" t="str">
        <f t="shared" ca="1" si="3"/>
        <v>US</v>
      </c>
      <c r="T9" s="181" t="str">
        <f ca="1">IF(B9="","",IF(ISERROR(MATCH($J9,SorP!$B$1:$B$6279,0)),"",INDIRECT("'SorP'!$A$"&amp;MATCH($S9&amp;$J9,SorP!C:C,0))))</f>
        <v>US-UT</v>
      </c>
      <c r="U9" s="201"/>
      <c r="V9" s="226">
        <f>IF(C9="",NA(),IF(OR(C9="Smelter not listed",C9="Smelter not yet identified"),MATCH($B9&amp;$D9,'Smelter Look-up'!$J:$J,0),MATCH($B9&amp;$C9,'Smelter Look-up'!$J:$J,0)))</f>
        <v>127</v>
      </c>
      <c r="X9" s="227">
        <f t="shared" ca="1" si="4"/>
        <v>0</v>
      </c>
      <c r="AB9" s="228" t="str">
        <f t="shared" si="5"/>
        <v>GoldJohnson Matthey Inc. (USA)</v>
      </c>
    </row>
    <row r="10" spans="1:34" s="227" customFormat="1" ht="19.899999999999999" customHeight="1">
      <c r="A10" s="262"/>
      <c r="B10" s="182" t="s">
        <v>1125</v>
      </c>
      <c r="C10" s="186" t="s">
        <v>2305</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IF(C10="",NA(),IF(OR(C10="Smelter not listed",C10="Smelter not yet identified"),MATCH($B10&amp;$D10,'Smelter Look-up'!$J:$J,0),MATCH($B10&amp;$C10,'Smelter Look-up'!$J:$J,0)))</f>
        <v>175</v>
      </c>
      <c r="X10" s="227">
        <f t="shared" ca="1" si="4"/>
        <v>0</v>
      </c>
      <c r="AB10" s="228" t="str">
        <f t="shared" si="5"/>
        <v>GoldMetalor Technologies S.A.</v>
      </c>
    </row>
    <row r="11" spans="1:34" s="227" customFormat="1" ht="19.899999999999999" customHeight="1">
      <c r="A11" s="262"/>
      <c r="B11" s="182" t="s">
        <v>1126</v>
      </c>
      <c r="C11" s="186" t="s">
        <v>1030</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ca="1" si="4"/>
        <v>0</v>
      </c>
      <c r="AB11" s="228" t="str">
        <f t="shared" si="5"/>
        <v>TinMinsur</v>
      </c>
    </row>
    <row r="12" spans="1:34" s="227" customFormat="1" ht="19.899999999999999" customHeight="1">
      <c r="A12" s="262"/>
      <c r="B12" s="182" t="s">
        <v>1126</v>
      </c>
      <c r="C12" s="186" t="s">
        <v>2157</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Refined Bangka Tin</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507</v>
      </c>
      <c r="X12" s="227">
        <f t="shared" ca="1" si="4"/>
        <v>0</v>
      </c>
      <c r="AB12" s="228" t="str">
        <f t="shared" si="5"/>
        <v>TinPT Refined Bangka Tin</v>
      </c>
    </row>
    <row r="13" spans="1:34" s="227" customFormat="1" ht="19.899999999999999" customHeight="1">
      <c r="A13" s="262"/>
      <c r="B13" s="182" t="s">
        <v>1126</v>
      </c>
      <c r="C13" s="186" t="s">
        <v>817</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ca="1" si="4"/>
        <v>0</v>
      </c>
      <c r="AB13" s="228" t="str">
        <f t="shared" si="5"/>
        <v>TinMalaysia Smelting Corporation (MSC)</v>
      </c>
    </row>
    <row r="14" spans="1:34" s="227" customFormat="1" ht="19.899999999999999" customHeight="1">
      <c r="A14" s="262"/>
      <c r="B14" s="182" t="s">
        <v>1126</v>
      </c>
      <c r="C14" s="186" t="s">
        <v>1797</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3"/>
        <v>TH</v>
      </c>
      <c r="T14" s="181" t="str">
        <f ca="1">IF(B14="","",IF(ISERROR(MATCH($J14,SorP!$B$1:$B$6279,0)),"",INDIRECT("'SorP'!$A$"&amp;MATCH($S14&amp;$J14,SorP!C:C,0))))</f>
        <v>TH-83</v>
      </c>
      <c r="U14" s="201"/>
      <c r="V14" s="226">
        <f>IF(C14="",NA(),IF(OR(C14="Smelter not listed",C14="Smelter not yet identified"),MATCH($B14&amp;$D14,'Smelter Look-up'!$J:$J,0),MATCH($B14&amp;$C14,'Smelter Look-up'!$J:$J,0)))</f>
        <v>525</v>
      </c>
      <c r="X14" s="227">
        <f t="shared" ca="1" si="4"/>
        <v>0</v>
      </c>
      <c r="AB14" s="228" t="str">
        <f t="shared" si="5"/>
        <v>TinThailand Smelting &amp; Refining Co Ltd</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C502378-1363-4616-BC66-6EB17B6717F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DataCon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Dave Genchauski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dave _genchauski@data-con.com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781-273-5800 ext 294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Dave Genchauski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dave _genchauski@data-con.com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http://data-con.com/corporate-docs/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Genchauski</cp:lastModifiedBy>
  <cp:lastPrinted>2015-04-21T20:47:43Z</cp:lastPrinted>
  <dcterms:created xsi:type="dcterms:W3CDTF">2010-06-21T21:00:23Z</dcterms:created>
  <dcterms:modified xsi:type="dcterms:W3CDTF">2024-01-10T13:42:01Z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